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h-zgsefs001\home$\Andreas.Popp\Documents\Blend Optimization in a Nutshell\"/>
    </mc:Choice>
  </mc:AlternateContent>
  <bookViews>
    <workbookView xWindow="0" yWindow="0" windowWidth="28800" windowHeight="12300" firstSheet="1" activeTab="4"/>
  </bookViews>
  <sheets>
    <sheet name="Example 1" sheetId="1" r:id="rId1"/>
    <sheet name="Example 2" sheetId="2" r:id="rId2"/>
    <sheet name="Example 3" sheetId="3" r:id="rId3"/>
    <sheet name="Example 4" sheetId="4" r:id="rId4"/>
    <sheet name="Example 5" sheetId="6" r:id="rId5"/>
    <sheet name="Example 4 VP Index" sheetId="5" r:id="rId6"/>
    <sheet name="Example 3 Staircase" sheetId="7" r:id="rId7"/>
    <sheet name="Example 3 Incremental" sheetId="9" r:id="rId8"/>
    <sheet name="Example 3 Quadratic" sheetId="10" r:id="rId9"/>
    <sheet name="Example 5 Pooling" sheetId="11" r:id="rId10"/>
  </sheets>
  <definedNames>
    <definedName name="solver_adj" localSheetId="0" hidden="1">'Example 1'!$C$7:$G$7</definedName>
    <definedName name="solver_adj" localSheetId="1" hidden="1">'Example 2'!$C$7:$G$7</definedName>
    <definedName name="solver_adj" localSheetId="2" hidden="1">'Example 3'!$D$4:$H$5</definedName>
    <definedName name="solver_adj" localSheetId="7" hidden="1">'Example 3 Incremental'!$D$4:$G$5,'Example 3 Incremental'!$I$4:$N$7</definedName>
    <definedName name="solver_adj" localSheetId="8" hidden="1">'Example 3 Quadratic'!$D$4:$H$5</definedName>
    <definedName name="solver_adj" localSheetId="6" hidden="1">'Example 3 Staircase'!$D$4:$G$5,'Example 3 Staircase'!$I$4:$N$7</definedName>
    <definedName name="solver_adj" localSheetId="3" hidden="1">'Example 4'!$D$4:$H$5</definedName>
    <definedName name="solver_adj" localSheetId="5" hidden="1">'Example 4 VP Index'!$D$4:$H$5</definedName>
    <definedName name="solver_adj" localSheetId="4" hidden="1">'Example 5'!$D$4:$H$6,'Example 5'!$J$21:$J$22,'Example 5'!$J$27:$J$28,'Example 5'!$J$33:$J$34</definedName>
    <definedName name="solver_adj" localSheetId="9" hidden="1">'Example 5 Pooling'!$D$4:$H$5,'Example 5 Pooling'!$I$6:$J$8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cvg" localSheetId="7" hidden="1">0.0001</definedName>
    <definedName name="solver_cvg" localSheetId="8" hidden="1">0.0001</definedName>
    <definedName name="solver_cvg" localSheetId="6" hidden="1">0.0001</definedName>
    <definedName name="solver_cvg" localSheetId="3" hidden="1">0.0001</definedName>
    <definedName name="solver_cvg" localSheetId="5" hidden="1">0.0001</definedName>
    <definedName name="solver_cvg" localSheetId="4" hidden="1">0.0001</definedName>
    <definedName name="solver_cvg" localSheetId="9" hidden="1">0.0001</definedName>
    <definedName name="solver_drv" localSheetId="0" hidden="1">2</definedName>
    <definedName name="solver_drv" localSheetId="1" hidden="1">2</definedName>
    <definedName name="solver_drv" localSheetId="2" hidden="1">2</definedName>
    <definedName name="solver_drv" localSheetId="7" hidden="1">2</definedName>
    <definedName name="solver_drv" localSheetId="8" hidden="1">2</definedName>
    <definedName name="solver_drv" localSheetId="6" hidden="1">2</definedName>
    <definedName name="solver_drv" localSheetId="3" hidden="1">2</definedName>
    <definedName name="solver_drv" localSheetId="5" hidden="1">2</definedName>
    <definedName name="solver_drv" localSheetId="4" hidden="1">2</definedName>
    <definedName name="solver_drv" localSheetId="9" hidden="1">2</definedName>
    <definedName name="solver_eng" localSheetId="0" hidden="1">2</definedName>
    <definedName name="solver_eng" localSheetId="1" hidden="1">2</definedName>
    <definedName name="solver_eng" localSheetId="2" hidden="1">2</definedName>
    <definedName name="solver_eng" localSheetId="7" hidden="1">2</definedName>
    <definedName name="solver_eng" localSheetId="8" hidden="1">1</definedName>
    <definedName name="solver_eng" localSheetId="6" hidden="1">2</definedName>
    <definedName name="solver_eng" localSheetId="3" hidden="1">2</definedName>
    <definedName name="solver_eng" localSheetId="5" hidden="1">2</definedName>
    <definedName name="solver_eng" localSheetId="4" hidden="1">2</definedName>
    <definedName name="solver_eng" localSheetId="9" hidden="1">2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est" localSheetId="7" hidden="1">1</definedName>
    <definedName name="solver_est" localSheetId="8" hidden="1">1</definedName>
    <definedName name="solver_est" localSheetId="6" hidden="1">1</definedName>
    <definedName name="solver_est" localSheetId="3" hidden="1">1</definedName>
    <definedName name="solver_est" localSheetId="5" hidden="1">1</definedName>
    <definedName name="solver_est" localSheetId="4" hidden="1">1</definedName>
    <definedName name="solver_est" localSheetId="9" hidden="1">1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itr" localSheetId="7" hidden="1">2147483647</definedName>
    <definedName name="solver_itr" localSheetId="8" hidden="1">2147483647</definedName>
    <definedName name="solver_itr" localSheetId="6" hidden="1">2147483647</definedName>
    <definedName name="solver_itr" localSheetId="3" hidden="1">2147483647</definedName>
    <definedName name="solver_itr" localSheetId="5" hidden="1">2147483647</definedName>
    <definedName name="solver_itr" localSheetId="4" hidden="1">2147483647</definedName>
    <definedName name="solver_itr" localSheetId="9" hidden="1">2147483647</definedName>
    <definedName name="solver_lhs0" localSheetId="9" hidden="1">'Example 5 Pooling'!$L$6:$L$8</definedName>
    <definedName name="solver_lhs1" localSheetId="0" hidden="1">'Example 1'!$H$14</definedName>
    <definedName name="solver_lhs1" localSheetId="1" hidden="1">'Example 2'!$H$14</definedName>
    <definedName name="solver_lhs1" localSheetId="2" hidden="1">'Example 3'!$D$8:$H$8</definedName>
    <definedName name="solver_lhs1" localSheetId="7" hidden="1">'Example 3 Incremental'!$D$20:$H$20</definedName>
    <definedName name="solver_lhs1" localSheetId="8" hidden="1">'Example 3 Quadratic'!$D$8:$H$8</definedName>
    <definedName name="solver_lhs1" localSheetId="6" hidden="1">'Example 3 Staircase'!$O$44:$O$52</definedName>
    <definedName name="solver_lhs1" localSheetId="3" hidden="1">'Example 4'!$D$14:$H$14</definedName>
    <definedName name="solver_lhs1" localSheetId="5" hidden="1">'Example 4 VP Index'!$D$14:$H$14</definedName>
    <definedName name="solver_lhs1" localSheetId="4" hidden="1">'Example 5'!$D$9:$H$9</definedName>
    <definedName name="solver_lhs1" localSheetId="9" hidden="1">'Example 5 Pooling'!$L$71:$L$72</definedName>
    <definedName name="solver_lhs10" localSheetId="7" hidden="1">'Example 3 Incremental'!$O$32:$O$40</definedName>
    <definedName name="solver_lhs10" localSheetId="6" hidden="1">'Example 3 Staircase'!$D$19:$H$19</definedName>
    <definedName name="solver_lhs11" localSheetId="7" hidden="1">'Example 3 Incremental'!$I$4:$N$5</definedName>
    <definedName name="solver_lhs11" localSheetId="6" hidden="1">'Example 3 Staircase'!$I$6:$N$7</definedName>
    <definedName name="solver_lhs2" localSheetId="0" hidden="1">'Example 1'!$H$17:$H$25</definedName>
    <definedName name="solver_lhs2" localSheetId="1" hidden="1">'Example 2'!$H$18:$H$26</definedName>
    <definedName name="solver_lhs2" localSheetId="2" hidden="1">'Example 3'!$I$20:$I$28</definedName>
    <definedName name="solver_lhs2" localSheetId="7" hidden="1">'Example 3 Incremental'!$P$4:$P$5</definedName>
    <definedName name="solver_lhs2" localSheetId="8" hidden="1">'Example 3 Quadratic'!$J$20:$J$28</definedName>
    <definedName name="solver_lhs2" localSheetId="6" hidden="1">'Example 3 Staircase'!$O$31:$O$39</definedName>
    <definedName name="solver_lhs2" localSheetId="3" hidden="1">'Example 4'!$I$27:$I$37</definedName>
    <definedName name="solver_lhs2" localSheetId="5" hidden="1">'Example 4 VP Index'!$I$27:$I$37</definedName>
    <definedName name="solver_lhs2" localSheetId="4" hidden="1">'Example 5'!$J$21:$J$22</definedName>
    <definedName name="solver_lhs2" localSheetId="9" hidden="1">'Example 5 Pooling'!$D$14:$H$14</definedName>
    <definedName name="solver_lhs3" localSheetId="0" hidden="1">'Example 1'!$H$17:$H$25</definedName>
    <definedName name="solver_lhs3" localSheetId="1" hidden="1">'Example 2'!$H$18:$H$26</definedName>
    <definedName name="solver_lhs3" localSheetId="2" hidden="1">'Example 3'!$I$20:$I$28</definedName>
    <definedName name="solver_lhs3" localSheetId="7" hidden="1">'Example 3 Incremental'!$I$6:$N$7</definedName>
    <definedName name="solver_lhs3" localSheetId="8" hidden="1">'Example 3 Quadratic'!$J$20:$J$28</definedName>
    <definedName name="solver_lhs3" localSheetId="6" hidden="1">'Example 3 Staircase'!$P$4:$P$5</definedName>
    <definedName name="solver_lhs3" localSheetId="3" hidden="1">'Example 4'!$I$27:$I$37</definedName>
    <definedName name="solver_lhs3" localSheetId="5" hidden="1">'Example 4 VP Index'!$I$27:$I$37</definedName>
    <definedName name="solver_lhs3" localSheetId="4" hidden="1">'Example 5'!$J$27:$J$28</definedName>
    <definedName name="solver_lhs3" localSheetId="9" hidden="1">'Example 5 Pooling'!$I$9:$J$9</definedName>
    <definedName name="solver_lhs4" localSheetId="2" hidden="1">'Example 3'!$I$33:$I$41</definedName>
    <definedName name="solver_lhs4" localSheetId="7" hidden="1">'Example 3 Incremental'!$I$13:$M$14</definedName>
    <definedName name="solver_lhs4" localSheetId="8" hidden="1">'Example 3 Quadratic'!$J$33:$J$41</definedName>
    <definedName name="solver_lhs4" localSheetId="6" hidden="1">'Example 3 Staircase'!$I$4:$N$5</definedName>
    <definedName name="solver_lhs4" localSheetId="3" hidden="1">'Example 4'!$I$43:$I$53</definedName>
    <definedName name="solver_lhs4" localSheetId="5" hidden="1">'Example 4 VP Index'!$I$44:$I$54</definedName>
    <definedName name="solver_lhs4" localSheetId="4" hidden="1">'Example 5'!$J$33:$J$34</definedName>
    <definedName name="solver_lhs4" localSheetId="9" hidden="1">'Example 5 Pooling'!$L$61:$L$62</definedName>
    <definedName name="solver_lhs5" localSheetId="2" hidden="1">'Example 3'!$I$33:$I$41</definedName>
    <definedName name="solver_lhs5" localSheetId="7" hidden="1">'Example 3 Incremental'!$O$45:$O$53</definedName>
    <definedName name="solver_lhs5" localSheetId="8" hidden="1">'Example 3 Quadratic'!$J$33:$J$41</definedName>
    <definedName name="solver_lhs5" localSheetId="6" hidden="1">'Example 3 Staircase'!$I$4:$N$5</definedName>
    <definedName name="solver_lhs5" localSheetId="3" hidden="1">'Example 4'!$I$43:$I$53</definedName>
    <definedName name="solver_lhs5" localSheetId="5" hidden="1">'Example 4 VP Index'!$I$44:$I$54</definedName>
    <definedName name="solver_lhs5" localSheetId="4" hidden="1">'Example 5'!$K$21:$K$22</definedName>
    <definedName name="solver_lhs5" localSheetId="9" hidden="1">'Example 5 Pooling'!$L$66:$L$67</definedName>
    <definedName name="solver_lhs6" localSheetId="2" hidden="1">'Example 3'!$J$4:$J$5</definedName>
    <definedName name="solver_lhs6" localSheetId="7" hidden="1">'Example 3 Incremental'!$O$45:$O$53</definedName>
    <definedName name="solver_lhs6" localSheetId="8" hidden="1">'Example 3 Quadratic'!$K$4:$K$5</definedName>
    <definedName name="solver_lhs6" localSheetId="6" hidden="1">'Example 3 Staircase'!$O$44:$O$52</definedName>
    <definedName name="solver_lhs6" localSheetId="3" hidden="1">'Example 4'!$J$4:$J$5</definedName>
    <definedName name="solver_lhs6" localSheetId="5" hidden="1">'Example 4 VP Index'!$J$4:$J$5</definedName>
    <definedName name="solver_lhs6" localSheetId="4" hidden="1">'Example 5'!$K$27:$K$28</definedName>
    <definedName name="solver_lhs6" localSheetId="9" hidden="1">'Example 5 Pooling'!$L$6:$L$8</definedName>
    <definedName name="solver_lhs7" localSheetId="7" hidden="1">'Example 3 Incremental'!$O$32:$O$40</definedName>
    <definedName name="solver_lhs7" localSheetId="6" hidden="1">'Example 3 Staircase'!$O$31:$O$39</definedName>
    <definedName name="solver_lhs7" localSheetId="4" hidden="1">'Example 5'!$K$33:$K$34</definedName>
    <definedName name="solver_lhs7" localSheetId="9" hidden="1">'Example 5 Pooling'!#REF!</definedName>
    <definedName name="solver_lhs8" localSheetId="7" hidden="1">'Example 3 Incremental'!$I$4:$N$5</definedName>
    <definedName name="solver_lhs8" localSheetId="6" hidden="1">'Example 3 Staircase'!$O$6:$O$7</definedName>
    <definedName name="solver_lhs8" localSheetId="4" hidden="1">'Example 5'!$L$4:$L$6</definedName>
    <definedName name="solver_lhs8" localSheetId="9" hidden="1">'Example 5 Pooling'!$L$6:$L$8</definedName>
    <definedName name="solver_lhs9" localSheetId="7" hidden="1">'Example 3 Incremental'!$I$4:$N$5</definedName>
    <definedName name="solver_lhs9" localSheetId="6" hidden="1">'Example 3 Staircase'!$I$4:$N$5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ip" localSheetId="7" hidden="1">2147483647</definedName>
    <definedName name="solver_mip" localSheetId="8" hidden="1">2147483647</definedName>
    <definedName name="solver_mip" localSheetId="6" hidden="1">2147483647</definedName>
    <definedName name="solver_mip" localSheetId="3" hidden="1">2147483647</definedName>
    <definedName name="solver_mip" localSheetId="5" hidden="1">2147483647</definedName>
    <definedName name="solver_mip" localSheetId="4" hidden="1">2147483647</definedName>
    <definedName name="solver_mip" localSheetId="9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ni" localSheetId="7" hidden="1">30</definedName>
    <definedName name="solver_mni" localSheetId="8" hidden="1">30</definedName>
    <definedName name="solver_mni" localSheetId="6" hidden="1">30</definedName>
    <definedName name="solver_mni" localSheetId="3" hidden="1">30</definedName>
    <definedName name="solver_mni" localSheetId="5" hidden="1">30</definedName>
    <definedName name="solver_mni" localSheetId="4" hidden="1">30</definedName>
    <definedName name="solver_mni" localSheetId="9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rt" localSheetId="7" hidden="1">0.075</definedName>
    <definedName name="solver_mrt" localSheetId="8" hidden="1">0.075</definedName>
    <definedName name="solver_mrt" localSheetId="6" hidden="1">0.075</definedName>
    <definedName name="solver_mrt" localSheetId="3" hidden="1">0.075</definedName>
    <definedName name="solver_mrt" localSheetId="5" hidden="1">0.075</definedName>
    <definedName name="solver_mrt" localSheetId="4" hidden="1">0.075</definedName>
    <definedName name="solver_mrt" localSheetId="9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msl" localSheetId="7" hidden="1">2</definedName>
    <definedName name="solver_msl" localSheetId="8" hidden="1">2</definedName>
    <definedName name="solver_msl" localSheetId="6" hidden="1">2</definedName>
    <definedName name="solver_msl" localSheetId="3" hidden="1">2</definedName>
    <definedName name="solver_msl" localSheetId="5" hidden="1">2</definedName>
    <definedName name="solver_msl" localSheetId="4" hidden="1">2</definedName>
    <definedName name="solver_msl" localSheetId="9" hidden="1">2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eg" localSheetId="7" hidden="1">1</definedName>
    <definedName name="solver_neg" localSheetId="8" hidden="1">1</definedName>
    <definedName name="solver_neg" localSheetId="6" hidden="1">1</definedName>
    <definedName name="solver_neg" localSheetId="3" hidden="1">1</definedName>
    <definedName name="solver_neg" localSheetId="5" hidden="1">1</definedName>
    <definedName name="solver_neg" localSheetId="4" hidden="1">1</definedName>
    <definedName name="solver_neg" localSheetId="9" hidden="1">1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od" localSheetId="7" hidden="1">2147483647</definedName>
    <definedName name="solver_nod" localSheetId="8" hidden="1">2147483647</definedName>
    <definedName name="solver_nod" localSheetId="6" hidden="1">2147483647</definedName>
    <definedName name="solver_nod" localSheetId="3" hidden="1">2147483647</definedName>
    <definedName name="solver_nod" localSheetId="5" hidden="1">2147483647</definedName>
    <definedName name="solver_nod" localSheetId="4" hidden="1">2147483647</definedName>
    <definedName name="solver_nod" localSheetId="9" hidden="1">2147483647</definedName>
    <definedName name="solver_num" localSheetId="0" hidden="1">3</definedName>
    <definedName name="solver_num" localSheetId="1" hidden="1">3</definedName>
    <definedName name="solver_num" localSheetId="2" hidden="1">6</definedName>
    <definedName name="solver_num" localSheetId="7" hidden="1">10</definedName>
    <definedName name="solver_num" localSheetId="8" hidden="1">6</definedName>
    <definedName name="solver_num" localSheetId="6" hidden="1">11</definedName>
    <definedName name="solver_num" localSheetId="3" hidden="1">6</definedName>
    <definedName name="solver_num" localSheetId="5" hidden="1">6</definedName>
    <definedName name="solver_num" localSheetId="4" hidden="1">8</definedName>
    <definedName name="solver_num" localSheetId="9" hidden="1">6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nwt" localSheetId="7" hidden="1">1</definedName>
    <definedName name="solver_nwt" localSheetId="8" hidden="1">1</definedName>
    <definedName name="solver_nwt" localSheetId="6" hidden="1">1</definedName>
    <definedName name="solver_nwt" localSheetId="3" hidden="1">1</definedName>
    <definedName name="solver_nwt" localSheetId="5" hidden="1">1</definedName>
    <definedName name="solver_nwt" localSheetId="4" hidden="1">1</definedName>
    <definedName name="solver_nwt" localSheetId="9" hidden="1">1</definedName>
    <definedName name="solver_opt" localSheetId="0" hidden="1">'Example 1'!$H$11</definedName>
    <definedName name="solver_opt" localSheetId="1" hidden="1">'Example 2'!$H$11</definedName>
    <definedName name="solver_opt" localSheetId="2" hidden="1">'Example 3'!$O$14</definedName>
    <definedName name="solver_opt" localSheetId="7" hidden="1">'Example 3 Incremental'!$U$26</definedName>
    <definedName name="solver_opt" localSheetId="8" hidden="1">'Example 3 Quadratic'!$P$14</definedName>
    <definedName name="solver_opt" localSheetId="6" hidden="1">'Example 3 Staircase'!$U$25</definedName>
    <definedName name="solver_opt" localSheetId="3" hidden="1">'Example 4'!$O$21</definedName>
    <definedName name="solver_opt" localSheetId="5" hidden="1">'Example 4 VP Index'!$O$21</definedName>
    <definedName name="solver_opt" localSheetId="4" hidden="1">'Example 5'!$U$15</definedName>
    <definedName name="solver_opt" localSheetId="9" hidden="1">'Example 5 Pooling'!$Q$20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pre" localSheetId="7" hidden="1">0.000001</definedName>
    <definedName name="solver_pre" localSheetId="8" hidden="1">0.000001</definedName>
    <definedName name="solver_pre" localSheetId="6" hidden="1">0.000001</definedName>
    <definedName name="solver_pre" localSheetId="3" hidden="1">0.000001</definedName>
    <definedName name="solver_pre" localSheetId="5" hidden="1">0.000001</definedName>
    <definedName name="solver_pre" localSheetId="4" hidden="1">0.000001</definedName>
    <definedName name="solver_pre" localSheetId="9" hidden="1">0.000001</definedName>
    <definedName name="solver_rbv" localSheetId="0" hidden="1">2</definedName>
    <definedName name="solver_rbv" localSheetId="1" hidden="1">2</definedName>
    <definedName name="solver_rbv" localSheetId="2" hidden="1">2</definedName>
    <definedName name="solver_rbv" localSheetId="7" hidden="1">2</definedName>
    <definedName name="solver_rbv" localSheetId="8" hidden="1">2</definedName>
    <definedName name="solver_rbv" localSheetId="6" hidden="1">2</definedName>
    <definedName name="solver_rbv" localSheetId="3" hidden="1">2</definedName>
    <definedName name="solver_rbv" localSheetId="5" hidden="1">2</definedName>
    <definedName name="solver_rbv" localSheetId="4" hidden="1">2</definedName>
    <definedName name="solver_rbv" localSheetId="9" hidden="1">2</definedName>
    <definedName name="solver_rel0" localSheetId="9" hidden="1">1</definedName>
    <definedName name="solver_rel1" localSheetId="0" hidden="1">2</definedName>
    <definedName name="solver_rel1" localSheetId="1" hidden="1">2</definedName>
    <definedName name="solver_rel1" localSheetId="2" hidden="1">1</definedName>
    <definedName name="solver_rel1" localSheetId="7" hidden="1">1</definedName>
    <definedName name="solver_rel1" localSheetId="8" hidden="1">1</definedName>
    <definedName name="solver_rel1" localSheetId="6" hidden="1">3</definedName>
    <definedName name="solver_rel1" localSheetId="3" hidden="1">1</definedName>
    <definedName name="solver_rel1" localSheetId="5" hidden="1">1</definedName>
    <definedName name="solver_rel1" localSheetId="4" hidden="1">1</definedName>
    <definedName name="solver_rel1" localSheetId="9" hidden="1">1</definedName>
    <definedName name="solver_rel10" localSheetId="7" hidden="1">1</definedName>
    <definedName name="solver_rel10" localSheetId="6" hidden="1">1</definedName>
    <definedName name="solver_rel11" localSheetId="7" hidden="1">1</definedName>
    <definedName name="solver_rel11" localSheetId="6" hidden="1">5</definedName>
    <definedName name="solver_rel2" localSheetId="0" hidden="1">1</definedName>
    <definedName name="solver_rel2" localSheetId="1" hidden="1">1</definedName>
    <definedName name="solver_rel2" localSheetId="2" hidden="1">1</definedName>
    <definedName name="solver_rel2" localSheetId="7" hidden="1">1</definedName>
    <definedName name="solver_rel2" localSheetId="8" hidden="1">1</definedName>
    <definedName name="solver_rel2" localSheetId="6" hidden="1">1</definedName>
    <definedName name="solver_rel2" localSheetId="3" hidden="1">1</definedName>
    <definedName name="solver_rel2" localSheetId="5" hidden="1">1</definedName>
    <definedName name="solver_rel2" localSheetId="4" hidden="1">1</definedName>
    <definedName name="solver_rel2" localSheetId="9" hidden="1">1</definedName>
    <definedName name="solver_rel3" localSheetId="0" hidden="1">3</definedName>
    <definedName name="solver_rel3" localSheetId="1" hidden="1">3</definedName>
    <definedName name="solver_rel3" localSheetId="2" hidden="1">3</definedName>
    <definedName name="solver_rel3" localSheetId="7" hidden="1">5</definedName>
    <definedName name="solver_rel3" localSheetId="8" hidden="1">3</definedName>
    <definedName name="solver_rel3" localSheetId="6" hidden="1">1</definedName>
    <definedName name="solver_rel3" localSheetId="3" hidden="1">3</definedName>
    <definedName name="solver_rel3" localSheetId="5" hidden="1">3</definedName>
    <definedName name="solver_rel3" localSheetId="4" hidden="1">1</definedName>
    <definedName name="solver_rel3" localSheetId="9" hidden="1">2</definedName>
    <definedName name="solver_rel4" localSheetId="2" hidden="1">1</definedName>
    <definedName name="solver_rel4" localSheetId="7" hidden="1">1</definedName>
    <definedName name="solver_rel4" localSheetId="8" hidden="1">1</definedName>
    <definedName name="solver_rel4" localSheetId="6" hidden="1">1</definedName>
    <definedName name="solver_rel4" localSheetId="3" hidden="1">1</definedName>
    <definedName name="solver_rel4" localSheetId="5" hidden="1">1</definedName>
    <definedName name="solver_rel4" localSheetId="4" hidden="1">1</definedName>
    <definedName name="solver_rel4" localSheetId="9" hidden="1">1</definedName>
    <definedName name="solver_rel5" localSheetId="2" hidden="1">3</definedName>
    <definedName name="solver_rel5" localSheetId="7" hidden="1">3</definedName>
    <definedName name="solver_rel5" localSheetId="8" hidden="1">3</definedName>
    <definedName name="solver_rel5" localSheetId="6" hidden="1">1</definedName>
    <definedName name="solver_rel5" localSheetId="3" hidden="1">3</definedName>
    <definedName name="solver_rel5" localSheetId="5" hidden="1">3</definedName>
    <definedName name="solver_rel5" localSheetId="4" hidden="1">1</definedName>
    <definedName name="solver_rel5" localSheetId="9" hidden="1">1</definedName>
    <definedName name="solver_rel6" localSheetId="2" hidden="1">1</definedName>
    <definedName name="solver_rel6" localSheetId="7" hidden="1">1</definedName>
    <definedName name="solver_rel6" localSheetId="8" hidden="1">1</definedName>
    <definedName name="solver_rel6" localSheetId="6" hidden="1">1</definedName>
    <definedName name="solver_rel6" localSheetId="3" hidden="1">1</definedName>
    <definedName name="solver_rel6" localSheetId="5" hidden="1">1</definedName>
    <definedName name="solver_rel6" localSheetId="4" hidden="1">1</definedName>
    <definedName name="solver_rel6" localSheetId="9" hidden="1">1</definedName>
    <definedName name="solver_rel7" localSheetId="7" hidden="1">3</definedName>
    <definedName name="solver_rel7" localSheetId="6" hidden="1">3</definedName>
    <definedName name="solver_rel7" localSheetId="4" hidden="1">1</definedName>
    <definedName name="solver_rel7" localSheetId="9" hidden="1">1</definedName>
    <definedName name="solver_rel8" localSheetId="7" hidden="1">1</definedName>
    <definedName name="solver_rel8" localSheetId="6" hidden="1">1</definedName>
    <definedName name="solver_rel8" localSheetId="4" hidden="1">1</definedName>
    <definedName name="solver_rel8" localSheetId="9" hidden="1">1</definedName>
    <definedName name="solver_rel9" localSheetId="7" hidden="1">1</definedName>
    <definedName name="solver_rel9" localSheetId="6" hidden="1">3</definedName>
    <definedName name="solver_rhs0" localSheetId="9" hidden="1">'Example 5 Pooling'!$M$6:$M$8</definedName>
    <definedName name="solver_rhs1" localSheetId="0" hidden="1">1</definedName>
    <definedName name="solver_rhs1" localSheetId="1" hidden="1">'Example 2'!$H$15</definedName>
    <definedName name="solver_rhs1" localSheetId="2" hidden="1">'Example 3'!$D$9:$H$9</definedName>
    <definedName name="solver_rhs1" localSheetId="7" hidden="1">'Example 3 Incremental'!$D$21:$H$21</definedName>
    <definedName name="solver_rhs1" localSheetId="8" hidden="1">'Example 3 Quadratic'!$D$9:$H$9</definedName>
    <definedName name="solver_rhs1" localSheetId="6" hidden="1">'Example 3 Staircase'!$R$44:$R$52</definedName>
    <definedName name="solver_rhs1" localSheetId="3" hidden="1">'Example 4'!$D$15:$H$15</definedName>
    <definedName name="solver_rhs1" localSheetId="5" hidden="1">'Example 4 VP Index'!$D$15:$H$15</definedName>
    <definedName name="solver_rhs1" localSheetId="4" hidden="1">'Example 5'!$D$10:$H$10</definedName>
    <definedName name="solver_rhs1" localSheetId="9" hidden="1">'Example 5 Pooling'!$N$71:$N$72</definedName>
    <definedName name="solver_rhs10" localSheetId="7" hidden="1">'Example 3 Incremental'!$S$32:$S$40</definedName>
    <definedName name="solver_rhs10" localSheetId="6" hidden="1">'Example 3 Staircase'!$D$20:$H$20</definedName>
    <definedName name="solver_rhs11" localSheetId="7" hidden="1">'Example 3 Incremental'!$I$9:$N$10</definedName>
    <definedName name="solver_rhs11" localSheetId="6" hidden="1">binary</definedName>
    <definedName name="solver_rhs2" localSheetId="0" hidden="1">'Example 1'!$J$17:$J$25</definedName>
    <definedName name="solver_rhs2" localSheetId="1" hidden="1">'Example 2'!$J$18:$J$26</definedName>
    <definedName name="solver_rhs2" localSheetId="2" hidden="1">'Example 3'!$M$20:$M$28</definedName>
    <definedName name="solver_rhs2" localSheetId="7" hidden="1">'Example 3 Incremental'!$Q$4:$Q$5</definedName>
    <definedName name="solver_rhs2" localSheetId="8" hidden="1">'Example 3 Quadratic'!$N$20:$N$28</definedName>
    <definedName name="solver_rhs2" localSheetId="6" hidden="1">'Example 3 Staircase'!$S$31:$S$39</definedName>
    <definedName name="solver_rhs2" localSheetId="3" hidden="1">'Example 4'!$M$27:$M$37</definedName>
    <definedName name="solver_rhs2" localSheetId="5" hidden="1">'Example 4 VP Index'!$M$27:$M$37</definedName>
    <definedName name="solver_rhs2" localSheetId="4" hidden="1">'Example 5'!$R$21:$R$22</definedName>
    <definedName name="solver_rhs2" localSheetId="9" hidden="1">'Example 5 Pooling'!$D$15:$H$15</definedName>
    <definedName name="solver_rhs3" localSheetId="0" hidden="1">'Example 1'!$I$17:$I$25</definedName>
    <definedName name="solver_rhs3" localSheetId="1" hidden="1">'Example 2'!$I$18:$I$26</definedName>
    <definedName name="solver_rhs3" localSheetId="2" hidden="1">'Example 3'!$L$20:$L$28</definedName>
    <definedName name="solver_rhs3" localSheetId="7" hidden="1">binary</definedName>
    <definedName name="solver_rhs3" localSheetId="8" hidden="1">'Example 3 Quadratic'!$M$20:$M$28</definedName>
    <definedName name="solver_rhs3" localSheetId="6" hidden="1">'Example 3 Staircase'!$Q$4:$Q$5</definedName>
    <definedName name="solver_rhs3" localSheetId="3" hidden="1">'Example 4'!$L$27:$L$37</definedName>
    <definedName name="solver_rhs3" localSheetId="5" hidden="1">'Example 4 VP Index'!$L$27:$L$37</definedName>
    <definedName name="solver_rhs3" localSheetId="4" hidden="1">'Example 5'!$R$27:$R$28</definedName>
    <definedName name="solver_rhs3" localSheetId="9" hidden="1">'Example 5 Pooling'!$I$10:$J$10</definedName>
    <definedName name="solver_rhs4" localSheetId="2" hidden="1">'Example 3'!$M$33:$M$41</definedName>
    <definedName name="solver_rhs4" localSheetId="7" hidden="1">'Example 3 Incremental'!$J$15:$N$16</definedName>
    <definedName name="solver_rhs4" localSheetId="8" hidden="1">'Example 3 Quadratic'!$N$33:$N$41</definedName>
    <definedName name="solver_rhs4" localSheetId="6" hidden="1">'Example 3 Staircase'!$I$12:$N$13</definedName>
    <definedName name="solver_rhs4" localSheetId="3" hidden="1">'Example 4'!$M$43:$M$53</definedName>
    <definedName name="solver_rhs4" localSheetId="5" hidden="1">'Example 4 VP Index'!$M$44:$M$54</definedName>
    <definedName name="solver_rhs4" localSheetId="4" hidden="1">'Example 5'!$R$33:$R$34</definedName>
    <definedName name="solver_rhs4" localSheetId="9" hidden="1">'Example 5 Pooling'!$N$61:$N$62</definedName>
    <definedName name="solver_rhs5" localSheetId="2" hidden="1">'Example 3'!$L$33:$L$41</definedName>
    <definedName name="solver_rhs5" localSheetId="7" hidden="1">'Example 3 Incremental'!$R$45:$R$53</definedName>
    <definedName name="solver_rhs5" localSheetId="8" hidden="1">'Example 3 Quadratic'!$M$33:$M$41</definedName>
    <definedName name="solver_rhs5" localSheetId="6" hidden="1">'Example 3 Staircase'!$I$10:$N$11</definedName>
    <definedName name="solver_rhs5" localSheetId="3" hidden="1">'Example 4'!$L$43:$L$53</definedName>
    <definedName name="solver_rhs5" localSheetId="5" hidden="1">'Example 4 VP Index'!$L$44:$L$54</definedName>
    <definedName name="solver_rhs5" localSheetId="4" hidden="1">'Example 5'!$M$21:$M$22</definedName>
    <definedName name="solver_rhs5" localSheetId="9" hidden="1">'Example 5 Pooling'!$N$66:$N$67</definedName>
    <definedName name="solver_rhs6" localSheetId="2" hidden="1">'Example 3'!$K$4:$K$5</definedName>
    <definedName name="solver_rhs6" localSheetId="7" hidden="1">'Example 3 Incremental'!$S$45:$S$53</definedName>
    <definedName name="solver_rhs6" localSheetId="8" hidden="1">'Example 3 Quadratic'!$L$4:$L$5</definedName>
    <definedName name="solver_rhs6" localSheetId="6" hidden="1">'Example 3 Staircase'!$S$44:$S$52</definedName>
    <definedName name="solver_rhs6" localSheetId="3" hidden="1">'Example 4'!$K$4:$K$5</definedName>
    <definedName name="solver_rhs6" localSheetId="5" hidden="1">'Example 4 VP Index'!$K$4:$K$5</definedName>
    <definedName name="solver_rhs6" localSheetId="4" hidden="1">'Example 5'!$M$27:$M$28</definedName>
    <definedName name="solver_rhs6" localSheetId="9" hidden="1">'Example 5 Pooling'!$M$6:$M$8</definedName>
    <definedName name="solver_rhs7" localSheetId="7" hidden="1">'Example 3 Incremental'!$R$32:$R$40</definedName>
    <definedName name="solver_rhs7" localSheetId="6" hidden="1">'Example 3 Staircase'!$R$31:$R$39</definedName>
    <definedName name="solver_rhs7" localSheetId="4" hidden="1">'Example 5'!$M$33:$M$34</definedName>
    <definedName name="solver_rhs7" localSheetId="9" hidden="1">'Example 5 Pooling'!#REF!</definedName>
    <definedName name="solver_rhs8" localSheetId="7" hidden="1">'Example 3 Incremental'!$I$9:$N$10</definedName>
    <definedName name="solver_rhs8" localSheetId="6" hidden="1">1</definedName>
    <definedName name="solver_rhs8" localSheetId="4" hidden="1">'Example 5'!$M$4:$M$6</definedName>
    <definedName name="solver_rhs8" localSheetId="9" hidden="1">'Example 5 Pooling'!$M$6:$M$8</definedName>
    <definedName name="solver_rhs9" localSheetId="7" hidden="1">'Example 3 Incremental'!$I$11:$N$12</definedName>
    <definedName name="solver_rhs9" localSheetId="6" hidden="1">'Example 3 Staircase'!$I$14:$N$15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lx" localSheetId="7" hidden="1">2</definedName>
    <definedName name="solver_rlx" localSheetId="8" hidden="1">2</definedName>
    <definedName name="solver_rlx" localSheetId="6" hidden="1">2</definedName>
    <definedName name="solver_rlx" localSheetId="3" hidden="1">2</definedName>
    <definedName name="solver_rlx" localSheetId="5" hidden="1">2</definedName>
    <definedName name="solver_rlx" localSheetId="4" hidden="1">2</definedName>
    <definedName name="solver_rlx" localSheetId="9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rsd" localSheetId="7" hidden="1">0</definedName>
    <definedName name="solver_rsd" localSheetId="8" hidden="1">0</definedName>
    <definedName name="solver_rsd" localSheetId="6" hidden="1">0</definedName>
    <definedName name="solver_rsd" localSheetId="3" hidden="1">0</definedName>
    <definedName name="solver_rsd" localSheetId="5" hidden="1">0</definedName>
    <definedName name="solver_rsd" localSheetId="4" hidden="1">0</definedName>
    <definedName name="solver_rsd" localSheetId="9" hidden="1">0</definedName>
    <definedName name="solver_scl" localSheetId="0" hidden="1">2</definedName>
    <definedName name="solver_scl" localSheetId="1" hidden="1">2</definedName>
    <definedName name="solver_scl" localSheetId="2" hidden="1">2</definedName>
    <definedName name="solver_scl" localSheetId="7" hidden="1">2</definedName>
    <definedName name="solver_scl" localSheetId="8" hidden="1">2</definedName>
    <definedName name="solver_scl" localSheetId="6" hidden="1">2</definedName>
    <definedName name="solver_scl" localSheetId="3" hidden="1">2</definedName>
    <definedName name="solver_scl" localSheetId="5" hidden="1">2</definedName>
    <definedName name="solver_scl" localSheetId="4" hidden="1">2</definedName>
    <definedName name="solver_scl" localSheetId="9" hidden="1">2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ho" localSheetId="7" hidden="1">2</definedName>
    <definedName name="solver_sho" localSheetId="8" hidden="1">2</definedName>
    <definedName name="solver_sho" localSheetId="6" hidden="1">2</definedName>
    <definedName name="solver_sho" localSheetId="3" hidden="1">2</definedName>
    <definedName name="solver_sho" localSheetId="5" hidden="1">2</definedName>
    <definedName name="solver_sho" localSheetId="4" hidden="1">2</definedName>
    <definedName name="solver_sho" localSheetId="9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ssz" localSheetId="7" hidden="1">100</definedName>
    <definedName name="solver_ssz" localSheetId="8" hidden="1">100</definedName>
    <definedName name="solver_ssz" localSheetId="6" hidden="1">100</definedName>
    <definedName name="solver_ssz" localSheetId="3" hidden="1">100</definedName>
    <definedName name="solver_ssz" localSheetId="5" hidden="1">100</definedName>
    <definedName name="solver_ssz" localSheetId="4" hidden="1">100</definedName>
    <definedName name="solver_ssz" localSheetId="9" hidden="1">100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im" localSheetId="7" hidden="1">2147483647</definedName>
    <definedName name="solver_tim" localSheetId="8" hidden="1">2147483647</definedName>
    <definedName name="solver_tim" localSheetId="6" hidden="1">2147483647</definedName>
    <definedName name="solver_tim" localSheetId="3" hidden="1">2147483647</definedName>
    <definedName name="solver_tim" localSheetId="5" hidden="1">2147483647</definedName>
    <definedName name="solver_tim" localSheetId="4" hidden="1">2147483647</definedName>
    <definedName name="solver_tim" localSheetId="9" hidden="1">2147483647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ol" localSheetId="7" hidden="1">0.01</definedName>
    <definedName name="solver_tol" localSheetId="8" hidden="1">0.01</definedName>
    <definedName name="solver_tol" localSheetId="6" hidden="1">0.01</definedName>
    <definedName name="solver_tol" localSheetId="3" hidden="1">0.01</definedName>
    <definedName name="solver_tol" localSheetId="5" hidden="1">0.01</definedName>
    <definedName name="solver_tol" localSheetId="4" hidden="1">0.01</definedName>
    <definedName name="solver_tol" localSheetId="9" hidden="1">0.01</definedName>
    <definedName name="solver_typ" localSheetId="0" hidden="1">2</definedName>
    <definedName name="solver_typ" localSheetId="1" hidden="1">2</definedName>
    <definedName name="solver_typ" localSheetId="2" hidden="1">1</definedName>
    <definedName name="solver_typ" localSheetId="7" hidden="1">1</definedName>
    <definedName name="solver_typ" localSheetId="8" hidden="1">1</definedName>
    <definedName name="solver_typ" localSheetId="6" hidden="1">1</definedName>
    <definedName name="solver_typ" localSheetId="3" hidden="1">1</definedName>
    <definedName name="solver_typ" localSheetId="5" hidden="1">1</definedName>
    <definedName name="solver_typ" localSheetId="4" hidden="1">1</definedName>
    <definedName name="solver_typ" localSheetId="9" hidden="1">1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al" localSheetId="7" hidden="1">0</definedName>
    <definedName name="solver_val" localSheetId="8" hidden="1">0</definedName>
    <definedName name="solver_val" localSheetId="6" hidden="1">0</definedName>
    <definedName name="solver_val" localSheetId="3" hidden="1">0</definedName>
    <definedName name="solver_val" localSheetId="5" hidden="1">0</definedName>
    <definedName name="solver_val" localSheetId="4" hidden="1">0</definedName>
    <definedName name="solver_val" localSheetId="9" hidden="1">0</definedName>
    <definedName name="solver_ver" localSheetId="0" hidden="1">3</definedName>
    <definedName name="solver_ver" localSheetId="1" hidden="1">3</definedName>
    <definedName name="solver_ver" localSheetId="2" hidden="1">3</definedName>
    <definedName name="solver_ver" localSheetId="7" hidden="1">3</definedName>
    <definedName name="solver_ver" localSheetId="8" hidden="1">3</definedName>
    <definedName name="solver_ver" localSheetId="6" hidden="1">3</definedName>
    <definedName name="solver_ver" localSheetId="3" hidden="1">3</definedName>
    <definedName name="solver_ver" localSheetId="5" hidden="1">3</definedName>
    <definedName name="solver_ver" localSheetId="4" hidden="1">3</definedName>
    <definedName name="solver_ver" localSheetId="9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5" i="9" l="1"/>
  <c r="O46" i="9"/>
  <c r="O47" i="9"/>
  <c r="O48" i="9"/>
  <c r="O49" i="9"/>
  <c r="O50" i="9"/>
  <c r="O51" i="9"/>
  <c r="O52" i="9"/>
  <c r="O53" i="9"/>
  <c r="O32" i="9" l="1"/>
  <c r="O33" i="9"/>
  <c r="O34" i="9"/>
  <c r="O35" i="9"/>
  <c r="O36" i="9"/>
  <c r="O37" i="9"/>
  <c r="O38" i="9"/>
  <c r="O39" i="9"/>
  <c r="O40" i="9"/>
  <c r="J26" i="11" l="1"/>
  <c r="J25" i="11"/>
  <c r="I26" i="11"/>
  <c r="I25" i="11"/>
  <c r="J9" i="11"/>
  <c r="J50" i="11" s="1"/>
  <c r="I9" i="11"/>
  <c r="I52" i="11" s="1"/>
  <c r="I56" i="11" s="1"/>
  <c r="J10" i="11"/>
  <c r="I10" i="11"/>
  <c r="D14" i="11"/>
  <c r="D20" i="11" s="1"/>
  <c r="E14" i="11"/>
  <c r="E20" i="11" s="1"/>
  <c r="F14" i="11"/>
  <c r="F20" i="11" s="1"/>
  <c r="G14" i="11"/>
  <c r="G16" i="11" s="1"/>
  <c r="H14" i="11"/>
  <c r="H20" i="11" s="1"/>
  <c r="L7" i="11"/>
  <c r="L8" i="11"/>
  <c r="L6" i="11"/>
  <c r="N67" i="11" s="1"/>
  <c r="I38" i="11" l="1"/>
  <c r="I41" i="11" s="1"/>
  <c r="J38" i="11"/>
  <c r="J41" i="11" s="1"/>
  <c r="N62" i="11"/>
  <c r="N71" i="11"/>
  <c r="N72" i="11"/>
  <c r="J37" i="11"/>
  <c r="J40" i="11" s="1"/>
  <c r="N61" i="11"/>
  <c r="N66" i="11"/>
  <c r="I50" i="11"/>
  <c r="I54" i="11" s="1"/>
  <c r="I37" i="11"/>
  <c r="I40" i="11" s="1"/>
  <c r="J54" i="11"/>
  <c r="J11" i="11"/>
  <c r="J32" i="11"/>
  <c r="J35" i="11" s="1"/>
  <c r="J67" i="11" s="1"/>
  <c r="J52" i="11"/>
  <c r="J56" i="11" s="1"/>
  <c r="J51" i="11"/>
  <c r="J55" i="11" s="1"/>
  <c r="I51" i="11"/>
  <c r="I55" i="11" s="1"/>
  <c r="I32" i="11"/>
  <c r="I35" i="11" s="1"/>
  <c r="I67" i="11" s="1"/>
  <c r="J31" i="11"/>
  <c r="J34" i="11" s="1"/>
  <c r="J66" i="11" s="1"/>
  <c r="I11" i="11"/>
  <c r="I31" i="11"/>
  <c r="I34" i="11" s="1"/>
  <c r="I66" i="11" s="1"/>
  <c r="D16" i="11"/>
  <c r="E16" i="11"/>
  <c r="F16" i="11"/>
  <c r="G20" i="11"/>
  <c r="Q6" i="11"/>
  <c r="N6" i="11"/>
  <c r="N7" i="11"/>
  <c r="Q7" i="11"/>
  <c r="N8" i="11"/>
  <c r="Q8" i="11"/>
  <c r="H16" i="11"/>
  <c r="I5" i="10"/>
  <c r="I4" i="10"/>
  <c r="J41" i="10"/>
  <c r="J40" i="10"/>
  <c r="J39" i="10"/>
  <c r="J38" i="10"/>
  <c r="J37" i="10"/>
  <c r="J36" i="10"/>
  <c r="J35" i="10"/>
  <c r="J33" i="10"/>
  <c r="J28" i="10"/>
  <c r="J27" i="10"/>
  <c r="J26" i="10"/>
  <c r="J25" i="10"/>
  <c r="J24" i="10"/>
  <c r="J23" i="10"/>
  <c r="J22" i="10"/>
  <c r="J20" i="10"/>
  <c r="H8" i="10"/>
  <c r="H10" i="10" s="1"/>
  <c r="G8" i="10"/>
  <c r="G10" i="10" s="1"/>
  <c r="F8" i="10"/>
  <c r="F10" i="10" s="1"/>
  <c r="E8" i="10"/>
  <c r="E10" i="10" s="1"/>
  <c r="D8" i="10"/>
  <c r="D10" i="10" s="1"/>
  <c r="K5" i="10"/>
  <c r="N39" i="10" s="1"/>
  <c r="K4" i="10"/>
  <c r="M28" i="10" s="1"/>
  <c r="I72" i="11" l="1"/>
  <c r="I62" i="11"/>
  <c r="J72" i="11"/>
  <c r="J62" i="11"/>
  <c r="I71" i="11"/>
  <c r="I61" i="11"/>
  <c r="J61" i="11"/>
  <c r="J71" i="11"/>
  <c r="Q20" i="11"/>
  <c r="N27" i="10"/>
  <c r="P28" i="10"/>
  <c r="P20" i="10"/>
  <c r="E14" i="10"/>
  <c r="F14" i="10"/>
  <c r="M20" i="10"/>
  <c r="P23" i="10"/>
  <c r="M26" i="10"/>
  <c r="P39" i="10"/>
  <c r="P5" i="10"/>
  <c r="P22" i="10"/>
  <c r="N28" i="10"/>
  <c r="O28" i="10" s="1"/>
  <c r="P40" i="10"/>
  <c r="P41" i="10"/>
  <c r="M5" i="10"/>
  <c r="P24" i="10"/>
  <c r="P35" i="10"/>
  <c r="P33" i="10"/>
  <c r="M24" i="10"/>
  <c r="M35" i="10"/>
  <c r="M21" i="10"/>
  <c r="P25" i="10"/>
  <c r="P36" i="10"/>
  <c r="N21" i="10"/>
  <c r="D14" i="10"/>
  <c r="P26" i="10"/>
  <c r="J21" i="10"/>
  <c r="P21" i="10" s="1"/>
  <c r="M37" i="10"/>
  <c r="J34" i="10"/>
  <c r="P34" i="10" s="1"/>
  <c r="N26" i="10"/>
  <c r="N37" i="10"/>
  <c r="M34" i="10"/>
  <c r="M4" i="10"/>
  <c r="G14" i="10"/>
  <c r="P38" i="10"/>
  <c r="N34" i="10"/>
  <c r="N35" i="10"/>
  <c r="P37" i="10"/>
  <c r="M40" i="10"/>
  <c r="H14" i="10"/>
  <c r="N24" i="10"/>
  <c r="M33" i="10"/>
  <c r="N40" i="10"/>
  <c r="M22" i="10"/>
  <c r="N33" i="10"/>
  <c r="M38" i="10"/>
  <c r="N22" i="10"/>
  <c r="M27" i="10"/>
  <c r="N38" i="10"/>
  <c r="M36" i="10"/>
  <c r="N20" i="10"/>
  <c r="M25" i="10"/>
  <c r="N36" i="10"/>
  <c r="M41" i="10"/>
  <c r="N25" i="10"/>
  <c r="P27" i="10"/>
  <c r="N41" i="10"/>
  <c r="P4" i="10"/>
  <c r="M23" i="10"/>
  <c r="M39" i="10"/>
  <c r="O39" i="10" s="1"/>
  <c r="N23" i="10"/>
  <c r="H53" i="9"/>
  <c r="H52" i="9"/>
  <c r="H50" i="9"/>
  <c r="H49" i="9"/>
  <c r="H48" i="9"/>
  <c r="H47" i="9"/>
  <c r="H46" i="9"/>
  <c r="H45" i="9"/>
  <c r="H51" i="9"/>
  <c r="H40" i="9"/>
  <c r="H39" i="9"/>
  <c r="H37" i="9"/>
  <c r="H36" i="9"/>
  <c r="H35" i="9"/>
  <c r="H34" i="9"/>
  <c r="H33" i="9"/>
  <c r="H32" i="9"/>
  <c r="H38" i="9"/>
  <c r="I3" i="9"/>
  <c r="J3" i="9"/>
  <c r="K3" i="9"/>
  <c r="L3" i="9"/>
  <c r="M3" i="9"/>
  <c r="N3" i="9"/>
  <c r="H20" i="9"/>
  <c r="H22" i="9" s="1"/>
  <c r="G20" i="9"/>
  <c r="G26" i="9" s="1"/>
  <c r="F20" i="9"/>
  <c r="F26" i="9" s="1"/>
  <c r="E20" i="9"/>
  <c r="E22" i="9" s="1"/>
  <c r="D20" i="9"/>
  <c r="D22" i="9" s="1"/>
  <c r="G9" i="9"/>
  <c r="J15" i="9" s="1"/>
  <c r="P5" i="9"/>
  <c r="R52" i="9" s="1"/>
  <c r="P4" i="9"/>
  <c r="S40" i="9" s="1"/>
  <c r="O7" i="7"/>
  <c r="O6" i="7"/>
  <c r="M11" i="7"/>
  <c r="L11" i="7"/>
  <c r="K11" i="7"/>
  <c r="I11" i="7"/>
  <c r="I10" i="7"/>
  <c r="J10" i="7"/>
  <c r="L10" i="7"/>
  <c r="M10" i="7"/>
  <c r="N10" i="7"/>
  <c r="G10" i="7"/>
  <c r="N11" i="7" s="1"/>
  <c r="K8" i="7"/>
  <c r="L8" i="7"/>
  <c r="M8" i="7"/>
  <c r="N8" i="7"/>
  <c r="J8" i="7"/>
  <c r="H19" i="7"/>
  <c r="H21" i="7" s="1"/>
  <c r="O52" i="7"/>
  <c r="O51" i="7"/>
  <c r="O50" i="7"/>
  <c r="O49" i="7"/>
  <c r="O48" i="7"/>
  <c r="O47" i="7"/>
  <c r="O46" i="7"/>
  <c r="O45" i="7"/>
  <c r="O44" i="7"/>
  <c r="O39" i="7"/>
  <c r="O38" i="7"/>
  <c r="O37" i="7"/>
  <c r="O36" i="7"/>
  <c r="O35" i="7"/>
  <c r="O34" i="7"/>
  <c r="O33" i="7"/>
  <c r="O32" i="7"/>
  <c r="O31" i="7"/>
  <c r="G19" i="7"/>
  <c r="G21" i="7" s="1"/>
  <c r="F19" i="7"/>
  <c r="F25" i="7" s="1"/>
  <c r="E19" i="7"/>
  <c r="E25" i="7" s="1"/>
  <c r="D19" i="7"/>
  <c r="D25" i="7" s="1"/>
  <c r="P5" i="7"/>
  <c r="R50" i="7" s="1"/>
  <c r="P4" i="7"/>
  <c r="R38" i="7" s="1"/>
  <c r="L72" i="11" l="1"/>
  <c r="O72" i="11" s="1"/>
  <c r="L62" i="11"/>
  <c r="P62" i="11" s="1"/>
  <c r="L67" i="11"/>
  <c r="L61" i="11"/>
  <c r="P61" i="11" s="1"/>
  <c r="L71" i="11"/>
  <c r="L66" i="11"/>
  <c r="P66" i="11" s="1"/>
  <c r="O20" i="10"/>
  <c r="O40" i="10"/>
  <c r="O27" i="10"/>
  <c r="O25" i="10"/>
  <c r="O37" i="10"/>
  <c r="O26" i="10"/>
  <c r="O24" i="10"/>
  <c r="O21" i="10"/>
  <c r="O33" i="10"/>
  <c r="O35" i="10"/>
  <c r="O34" i="10"/>
  <c r="O22" i="10"/>
  <c r="O41" i="10"/>
  <c r="P14" i="10"/>
  <c r="O36" i="10"/>
  <c r="O23" i="10"/>
  <c r="O38" i="10"/>
  <c r="I15" i="9"/>
  <c r="I16" i="9"/>
  <c r="U4" i="9"/>
  <c r="N12" i="9"/>
  <c r="J12" i="9"/>
  <c r="K11" i="9"/>
  <c r="L16" i="9"/>
  <c r="M15" i="9"/>
  <c r="U32" i="9"/>
  <c r="R35" i="9"/>
  <c r="S38" i="9"/>
  <c r="M12" i="9"/>
  <c r="N11" i="9"/>
  <c r="N13" i="9" s="1"/>
  <c r="J11" i="9"/>
  <c r="K16" i="9"/>
  <c r="L15" i="9"/>
  <c r="L12" i="9"/>
  <c r="L14" i="9" s="1"/>
  <c r="M11" i="9"/>
  <c r="N16" i="9"/>
  <c r="J16" i="9"/>
  <c r="K15" i="9"/>
  <c r="U34" i="9"/>
  <c r="U37" i="9"/>
  <c r="U40" i="9"/>
  <c r="I11" i="9"/>
  <c r="I13" i="9" s="1"/>
  <c r="K12" i="9"/>
  <c r="L11" i="9"/>
  <c r="M16" i="9"/>
  <c r="N15" i="9"/>
  <c r="R51" i="9"/>
  <c r="U5" i="9"/>
  <c r="F22" i="9"/>
  <c r="R32" i="9"/>
  <c r="R34" i="9"/>
  <c r="S35" i="9"/>
  <c r="S37" i="9"/>
  <c r="R40" i="9"/>
  <c r="T40" i="9" s="1"/>
  <c r="R46" i="9"/>
  <c r="U48" i="9"/>
  <c r="R50" i="9"/>
  <c r="U52" i="9"/>
  <c r="U50" i="9"/>
  <c r="R4" i="9"/>
  <c r="E26" i="9"/>
  <c r="U33" i="9"/>
  <c r="S34" i="9"/>
  <c r="U36" i="9"/>
  <c r="U38" i="9"/>
  <c r="R39" i="9"/>
  <c r="U45" i="9"/>
  <c r="S46" i="9"/>
  <c r="U49" i="9"/>
  <c r="S50" i="9"/>
  <c r="U53" i="9"/>
  <c r="U46" i="9"/>
  <c r="R47" i="9"/>
  <c r="S33" i="9"/>
  <c r="U35" i="9"/>
  <c r="R36" i="9"/>
  <c r="R38" i="9"/>
  <c r="S39" i="9"/>
  <c r="S45" i="9"/>
  <c r="U47" i="9"/>
  <c r="S49" i="9"/>
  <c r="U51" i="9"/>
  <c r="S53" i="9"/>
  <c r="J10" i="9"/>
  <c r="U39" i="9"/>
  <c r="M9" i="9"/>
  <c r="G22" i="9"/>
  <c r="J9" i="9"/>
  <c r="R48" i="9"/>
  <c r="R5" i="9"/>
  <c r="K9" i="9"/>
  <c r="I10" i="9"/>
  <c r="M10" i="9"/>
  <c r="I12" i="9"/>
  <c r="D26" i="9"/>
  <c r="H26" i="9"/>
  <c r="S32" i="9"/>
  <c r="R33" i="9"/>
  <c r="S36" i="9"/>
  <c r="R37" i="9"/>
  <c r="R45" i="9"/>
  <c r="S48" i="9"/>
  <c r="R49" i="9"/>
  <c r="S52" i="9"/>
  <c r="T52" i="9" s="1"/>
  <c r="R53" i="9"/>
  <c r="L9" i="9"/>
  <c r="N10" i="9"/>
  <c r="I9" i="9"/>
  <c r="K10" i="9"/>
  <c r="N9" i="9"/>
  <c r="L10" i="9"/>
  <c r="S47" i="9"/>
  <c r="S51" i="9"/>
  <c r="E21" i="7"/>
  <c r="R5" i="7"/>
  <c r="F21" i="7"/>
  <c r="R4" i="7"/>
  <c r="D21" i="7"/>
  <c r="K10" i="7"/>
  <c r="J11" i="7"/>
  <c r="M13" i="7"/>
  <c r="L14" i="7"/>
  <c r="L12" i="7"/>
  <c r="I15" i="7"/>
  <c r="I13" i="7"/>
  <c r="M15" i="7"/>
  <c r="N12" i="7"/>
  <c r="J12" i="7"/>
  <c r="K13" i="7"/>
  <c r="N14" i="7"/>
  <c r="J14" i="7"/>
  <c r="K15" i="7"/>
  <c r="M12" i="7"/>
  <c r="I12" i="7"/>
  <c r="L13" i="7"/>
  <c r="M14" i="7"/>
  <c r="I14" i="7"/>
  <c r="L15" i="7"/>
  <c r="K12" i="7"/>
  <c r="J13" i="7"/>
  <c r="N13" i="7"/>
  <c r="K14" i="7"/>
  <c r="J15" i="7"/>
  <c r="N15" i="7"/>
  <c r="H25" i="7"/>
  <c r="G25" i="7"/>
  <c r="U45" i="7"/>
  <c r="U49" i="7"/>
  <c r="U33" i="7"/>
  <c r="R35" i="7"/>
  <c r="S38" i="7"/>
  <c r="T38" i="7" s="1"/>
  <c r="U31" i="7"/>
  <c r="U34" i="7"/>
  <c r="U39" i="7"/>
  <c r="U46" i="7"/>
  <c r="U50" i="7"/>
  <c r="R31" i="7"/>
  <c r="S34" i="7"/>
  <c r="U37" i="7"/>
  <c r="R39" i="7"/>
  <c r="U47" i="7"/>
  <c r="U51" i="7"/>
  <c r="U35" i="7"/>
  <c r="U38" i="7"/>
  <c r="U32" i="7"/>
  <c r="U36" i="7"/>
  <c r="U44" i="7"/>
  <c r="S46" i="7"/>
  <c r="R47" i="7"/>
  <c r="U48" i="7"/>
  <c r="S50" i="7"/>
  <c r="T50" i="7" s="1"/>
  <c r="R51" i="7"/>
  <c r="U52" i="7"/>
  <c r="S31" i="7"/>
  <c r="R32" i="7"/>
  <c r="S35" i="7"/>
  <c r="R36" i="7"/>
  <c r="S39" i="7"/>
  <c r="R44" i="7"/>
  <c r="S47" i="7"/>
  <c r="R48" i="7"/>
  <c r="S51" i="7"/>
  <c r="R52" i="7"/>
  <c r="U5" i="7"/>
  <c r="S32" i="7"/>
  <c r="R33" i="7"/>
  <c r="S36" i="7"/>
  <c r="R37" i="7"/>
  <c r="S44" i="7"/>
  <c r="R45" i="7"/>
  <c r="S48" i="7"/>
  <c r="R49" i="7"/>
  <c r="S52" i="7"/>
  <c r="U4" i="7"/>
  <c r="S33" i="7"/>
  <c r="R34" i="7"/>
  <c r="S37" i="7"/>
  <c r="S45" i="7"/>
  <c r="R46" i="7"/>
  <c r="S49" i="7"/>
  <c r="U34" i="6"/>
  <c r="U33" i="6"/>
  <c r="U28" i="6"/>
  <c r="U27" i="6"/>
  <c r="U21" i="6"/>
  <c r="U22" i="6"/>
  <c r="I33" i="6"/>
  <c r="K33" i="6" s="1"/>
  <c r="I34" i="6"/>
  <c r="I27" i="6"/>
  <c r="K27" i="6" s="1"/>
  <c r="I28" i="6"/>
  <c r="K28" i="6" s="1"/>
  <c r="I21" i="6"/>
  <c r="I22" i="6"/>
  <c r="G9" i="6"/>
  <c r="G11" i="6" s="1"/>
  <c r="L5" i="6"/>
  <c r="N5" i="6" s="1"/>
  <c r="T33" i="9" l="1"/>
  <c r="N17" i="9"/>
  <c r="M18" i="9"/>
  <c r="K17" i="9"/>
  <c r="N16" i="7"/>
  <c r="L17" i="7"/>
  <c r="O62" i="11"/>
  <c r="P72" i="11"/>
  <c r="P67" i="11"/>
  <c r="O67" i="11"/>
  <c r="O61" i="11"/>
  <c r="O66" i="11"/>
  <c r="P71" i="11"/>
  <c r="O71" i="11"/>
  <c r="N18" i="9"/>
  <c r="L17" i="9"/>
  <c r="L18" i="9"/>
  <c r="I17" i="9"/>
  <c r="J18" i="9"/>
  <c r="K18" i="9"/>
  <c r="M17" i="9"/>
  <c r="J17" i="9"/>
  <c r="I18" i="9"/>
  <c r="T51" i="9"/>
  <c r="T53" i="9"/>
  <c r="T47" i="9"/>
  <c r="L13" i="9"/>
  <c r="M13" i="9"/>
  <c r="J13" i="9"/>
  <c r="K13" i="9"/>
  <c r="I14" i="9"/>
  <c r="J14" i="9"/>
  <c r="M14" i="9"/>
  <c r="N14" i="9"/>
  <c r="K14" i="9"/>
  <c r="T32" i="9"/>
  <c r="T35" i="9"/>
  <c r="T37" i="9"/>
  <c r="T38" i="9"/>
  <c r="T45" i="9"/>
  <c r="T39" i="9"/>
  <c r="T46" i="9"/>
  <c r="T34" i="9"/>
  <c r="T49" i="9"/>
  <c r="T36" i="9"/>
  <c r="U26" i="9"/>
  <c r="T50" i="9"/>
  <c r="T48" i="9"/>
  <c r="L16" i="7"/>
  <c r="T37" i="7"/>
  <c r="M17" i="7"/>
  <c r="N17" i="7"/>
  <c r="M16" i="7"/>
  <c r="K17" i="7"/>
  <c r="I17" i="7"/>
  <c r="T33" i="7"/>
  <c r="T45" i="7"/>
  <c r="T35" i="7"/>
  <c r="I16" i="7"/>
  <c r="T48" i="7"/>
  <c r="T36" i="7"/>
  <c r="T34" i="7"/>
  <c r="T49" i="7"/>
  <c r="T46" i="7"/>
  <c r="T52" i="7"/>
  <c r="T44" i="7"/>
  <c r="T32" i="7"/>
  <c r="T51" i="7"/>
  <c r="T39" i="7"/>
  <c r="J16" i="7"/>
  <c r="J17" i="7"/>
  <c r="K16" i="7"/>
  <c r="T47" i="7"/>
  <c r="T31" i="7"/>
  <c r="U25" i="7"/>
  <c r="O27" i="6"/>
  <c r="O28" i="6"/>
  <c r="R27" i="6"/>
  <c r="S27" i="6" s="1"/>
  <c r="R28" i="6"/>
  <c r="S28" i="6" s="1"/>
  <c r="U37" i="6"/>
  <c r="K21" i="6"/>
  <c r="K22" i="6"/>
  <c r="K34" i="6"/>
  <c r="M27" i="6"/>
  <c r="N27" i="6" s="1"/>
  <c r="M28" i="6"/>
  <c r="N28" i="6" s="1"/>
  <c r="G15" i="6"/>
  <c r="Q5" i="6"/>
  <c r="H9" i="6" l="1"/>
  <c r="H11" i="6" s="1"/>
  <c r="F9" i="6"/>
  <c r="F11" i="6" s="1"/>
  <c r="E9" i="6"/>
  <c r="E11" i="6" s="1"/>
  <c r="D9" i="6"/>
  <c r="D11" i="6" s="1"/>
  <c r="L6" i="6"/>
  <c r="N6" i="6" s="1"/>
  <c r="L4" i="6"/>
  <c r="N4" i="6" s="1"/>
  <c r="R21" i="6" l="1"/>
  <c r="S21" i="6" s="1"/>
  <c r="R22" i="6"/>
  <c r="S22" i="6" s="1"/>
  <c r="R33" i="6"/>
  <c r="S33" i="6" s="1"/>
  <c r="R34" i="6"/>
  <c r="S34" i="6" s="1"/>
  <c r="O22" i="6"/>
  <c r="O21" i="6"/>
  <c r="O34" i="6"/>
  <c r="O33" i="6"/>
  <c r="M34" i="6"/>
  <c r="N34" i="6" s="1"/>
  <c r="M33" i="6"/>
  <c r="N33" i="6" s="1"/>
  <c r="Q4" i="6"/>
  <c r="M22" i="6"/>
  <c r="N22" i="6" s="1"/>
  <c r="M21" i="6"/>
  <c r="N21" i="6" s="1"/>
  <c r="F15" i="6"/>
  <c r="Q6" i="6"/>
  <c r="E15" i="6"/>
  <c r="H15" i="6"/>
  <c r="D15" i="6"/>
  <c r="L46" i="5"/>
  <c r="M46" i="5"/>
  <c r="I46" i="5"/>
  <c r="O44" i="5"/>
  <c r="O45" i="5"/>
  <c r="O46" i="5"/>
  <c r="O47" i="5"/>
  <c r="O48" i="5"/>
  <c r="K46" i="5"/>
  <c r="J46" i="5"/>
  <c r="H46" i="5"/>
  <c r="G46" i="5"/>
  <c r="F46" i="5"/>
  <c r="E46" i="5"/>
  <c r="D46" i="5"/>
  <c r="K29" i="5"/>
  <c r="J29" i="5"/>
  <c r="D29" i="5"/>
  <c r="E29" i="5"/>
  <c r="F29" i="5"/>
  <c r="G29" i="5"/>
  <c r="H29" i="5"/>
  <c r="I54" i="5"/>
  <c r="O54" i="5" s="1"/>
  <c r="I53" i="5"/>
  <c r="I52" i="5"/>
  <c r="O52" i="5" s="1"/>
  <c r="I49" i="5"/>
  <c r="O49" i="5" s="1"/>
  <c r="I48" i="5"/>
  <c r="I47" i="5"/>
  <c r="I45" i="5"/>
  <c r="I44" i="5"/>
  <c r="I37" i="5"/>
  <c r="I36" i="5"/>
  <c r="I35" i="5"/>
  <c r="I32" i="5"/>
  <c r="I31" i="5"/>
  <c r="I30" i="5"/>
  <c r="I29" i="5"/>
  <c r="I28" i="5"/>
  <c r="I27" i="5"/>
  <c r="F21" i="5"/>
  <c r="D21" i="5"/>
  <c r="F16" i="5"/>
  <c r="D16" i="5"/>
  <c r="H14" i="5"/>
  <c r="H16" i="5" s="1"/>
  <c r="G14" i="5"/>
  <c r="G17" i="5" s="1"/>
  <c r="F14" i="5"/>
  <c r="F17" i="5" s="1"/>
  <c r="E14" i="5"/>
  <c r="E17" i="5" s="1"/>
  <c r="D14" i="5"/>
  <c r="D17" i="5" s="1"/>
  <c r="G10" i="5"/>
  <c r="F10" i="5"/>
  <c r="E10" i="5"/>
  <c r="D10" i="5"/>
  <c r="H9" i="5"/>
  <c r="G9" i="5"/>
  <c r="F9" i="5"/>
  <c r="H8" i="5"/>
  <c r="H10" i="5" s="1"/>
  <c r="I51" i="5" s="1"/>
  <c r="G8" i="5"/>
  <c r="F8" i="5"/>
  <c r="E8" i="5"/>
  <c r="E9" i="5" s="1"/>
  <c r="D8" i="5"/>
  <c r="D9" i="5" s="1"/>
  <c r="J5" i="5"/>
  <c r="M52" i="5" s="1"/>
  <c r="J4" i="5"/>
  <c r="L27" i="5" s="1"/>
  <c r="Q15" i="6" l="1"/>
  <c r="U15" i="6" s="1"/>
  <c r="M28" i="5"/>
  <c r="O28" i="5"/>
  <c r="O30" i="5"/>
  <c r="E16" i="5"/>
  <c r="M31" i="5"/>
  <c r="O35" i="5"/>
  <c r="L4" i="5"/>
  <c r="E21" i="5"/>
  <c r="O36" i="5"/>
  <c r="O4" i="5"/>
  <c r="L36" i="5"/>
  <c r="O37" i="5"/>
  <c r="L31" i="5"/>
  <c r="N31" i="5" s="1"/>
  <c r="M35" i="5"/>
  <c r="L28" i="5"/>
  <c r="N28" i="5" s="1"/>
  <c r="O55" i="5"/>
  <c r="N55" i="5" s="1"/>
  <c r="N46" i="5"/>
  <c r="I50" i="5"/>
  <c r="I34" i="5"/>
  <c r="J9" i="5"/>
  <c r="I33" i="5"/>
  <c r="G21" i="5"/>
  <c r="H21" i="5"/>
  <c r="G16" i="5"/>
  <c r="L29" i="5"/>
  <c r="M29" i="5"/>
  <c r="O31" i="5"/>
  <c r="M47" i="5"/>
  <c r="L52" i="5"/>
  <c r="N52" i="5" s="1"/>
  <c r="J10" i="5"/>
  <c r="O51" i="5" s="1"/>
  <c r="M27" i="5"/>
  <c r="N27" i="5" s="1"/>
  <c r="O29" i="5"/>
  <c r="O38" i="5" s="1"/>
  <c r="N38" i="5" s="1"/>
  <c r="L32" i="5"/>
  <c r="N32" i="5" s="1"/>
  <c r="M45" i="5"/>
  <c r="M44" i="5"/>
  <c r="L47" i="5"/>
  <c r="N47" i="5" s="1"/>
  <c r="M32" i="5"/>
  <c r="L37" i="5"/>
  <c r="L5" i="5"/>
  <c r="L54" i="5"/>
  <c r="N54" i="5" s="1"/>
  <c r="O27" i="5"/>
  <c r="L30" i="5"/>
  <c r="M37" i="5"/>
  <c r="L48" i="5"/>
  <c r="O5" i="5"/>
  <c r="O21" i="5" s="1"/>
  <c r="H17" i="5"/>
  <c r="M30" i="5"/>
  <c r="O32" i="5"/>
  <c r="L35" i="5"/>
  <c r="M48" i="5"/>
  <c r="L53" i="5"/>
  <c r="M53" i="5"/>
  <c r="O53" i="5"/>
  <c r="L49" i="5"/>
  <c r="L44" i="5"/>
  <c r="N44" i="5"/>
  <c r="M49" i="5"/>
  <c r="M36" i="5"/>
  <c r="N36" i="5" s="1"/>
  <c r="N49" i="5"/>
  <c r="M54" i="5"/>
  <c r="L45" i="5"/>
  <c r="N45" i="5" s="1"/>
  <c r="G9" i="4"/>
  <c r="E10" i="4"/>
  <c r="F10" i="4"/>
  <c r="G10" i="4"/>
  <c r="H10" i="4"/>
  <c r="D8" i="4"/>
  <c r="D9" i="4" s="1"/>
  <c r="E8" i="4"/>
  <c r="E9" i="4" s="1"/>
  <c r="F8" i="4"/>
  <c r="F9" i="4" s="1"/>
  <c r="G8" i="4"/>
  <c r="H8" i="4"/>
  <c r="H9" i="4" s="1"/>
  <c r="N37" i="5" l="1"/>
  <c r="N35" i="5"/>
  <c r="N29" i="5"/>
  <c r="O34" i="5"/>
  <c r="M34" i="5"/>
  <c r="L33" i="5"/>
  <c r="M33" i="5"/>
  <c r="L34" i="5"/>
  <c r="N34" i="5" s="1"/>
  <c r="O50" i="5"/>
  <c r="N50" i="5"/>
  <c r="O33" i="5"/>
  <c r="N33" i="5"/>
  <c r="N48" i="5"/>
  <c r="N53" i="5"/>
  <c r="L51" i="5"/>
  <c r="M51" i="5"/>
  <c r="M50" i="5"/>
  <c r="L50" i="5"/>
  <c r="N30" i="5"/>
  <c r="J9" i="4"/>
  <c r="M34" i="4" s="1"/>
  <c r="I34" i="4"/>
  <c r="I33" i="4"/>
  <c r="D10" i="4"/>
  <c r="N51" i="5" l="1"/>
  <c r="M33" i="4"/>
  <c r="L33" i="4"/>
  <c r="L34" i="4"/>
  <c r="N34" i="4" s="1"/>
  <c r="I49" i="4"/>
  <c r="I50" i="4"/>
  <c r="J10" i="4"/>
  <c r="O33" i="4"/>
  <c r="O34" i="4"/>
  <c r="N33" i="4" l="1"/>
  <c r="L49" i="4"/>
  <c r="M49" i="4"/>
  <c r="M50" i="4"/>
  <c r="L50" i="4"/>
  <c r="O50" i="4"/>
  <c r="O49" i="4"/>
  <c r="N50" i="4" l="1"/>
  <c r="N49" i="4"/>
  <c r="I53" i="4" l="1"/>
  <c r="I52" i="4"/>
  <c r="I51" i="4"/>
  <c r="I48" i="4"/>
  <c r="I47" i="4"/>
  <c r="I46" i="4"/>
  <c r="I45" i="4"/>
  <c r="I44" i="4"/>
  <c r="I43" i="4"/>
  <c r="I37" i="4"/>
  <c r="I36" i="4"/>
  <c r="I35" i="4"/>
  <c r="I32" i="4"/>
  <c r="I31" i="4"/>
  <c r="I30" i="4"/>
  <c r="I29" i="4"/>
  <c r="I28" i="4"/>
  <c r="I27" i="4"/>
  <c r="H14" i="4"/>
  <c r="H16" i="4" s="1"/>
  <c r="G14" i="4"/>
  <c r="G16" i="4" s="1"/>
  <c r="F14" i="4"/>
  <c r="E14" i="4"/>
  <c r="D14" i="4"/>
  <c r="J5" i="4"/>
  <c r="J4" i="4"/>
  <c r="L4" i="4" s="1"/>
  <c r="H18" i="2"/>
  <c r="H19" i="2"/>
  <c r="H20" i="2"/>
  <c r="H21" i="2"/>
  <c r="H22" i="2"/>
  <c r="H23" i="2"/>
  <c r="H24" i="2"/>
  <c r="H25" i="2"/>
  <c r="H26" i="2"/>
  <c r="F17" i="4" l="1"/>
  <c r="F16" i="4"/>
  <c r="L51" i="4"/>
  <c r="L5" i="4"/>
  <c r="D21" i="4"/>
  <c r="D16" i="4"/>
  <c r="E17" i="4"/>
  <c r="E16" i="4"/>
  <c r="L30" i="4"/>
  <c r="O36" i="4"/>
  <c r="O35" i="4"/>
  <c r="O43" i="4"/>
  <c r="O46" i="4"/>
  <c r="E21" i="4"/>
  <c r="F21" i="4"/>
  <c r="L37" i="4"/>
  <c r="O27" i="4"/>
  <c r="O47" i="4"/>
  <c r="O44" i="4"/>
  <c r="M30" i="4"/>
  <c r="O28" i="4"/>
  <c r="O31" i="4"/>
  <c r="O51" i="4"/>
  <c r="D17" i="4"/>
  <c r="L29" i="4"/>
  <c r="G17" i="4"/>
  <c r="H21" i="4"/>
  <c r="H17" i="4"/>
  <c r="O32" i="4"/>
  <c r="O52" i="4"/>
  <c r="M51" i="4"/>
  <c r="L28" i="4"/>
  <c r="M37" i="4"/>
  <c r="L47" i="4"/>
  <c r="O5" i="4"/>
  <c r="M28" i="4"/>
  <c r="O30" i="4"/>
  <c r="L35" i="4"/>
  <c r="M47" i="4"/>
  <c r="O53" i="4"/>
  <c r="M35" i="4"/>
  <c r="O37" i="4"/>
  <c r="L45" i="4"/>
  <c r="G21" i="4"/>
  <c r="L31" i="4"/>
  <c r="M45" i="4"/>
  <c r="L52" i="4"/>
  <c r="M31" i="4"/>
  <c r="L43" i="4"/>
  <c r="M52" i="4"/>
  <c r="M43" i="4"/>
  <c r="O45" i="4"/>
  <c r="L48" i="4"/>
  <c r="M29" i="4"/>
  <c r="L36" i="4"/>
  <c r="M48" i="4"/>
  <c r="L27" i="4"/>
  <c r="M36" i="4"/>
  <c r="L46" i="4"/>
  <c r="M27" i="4"/>
  <c r="O29" i="4"/>
  <c r="L32" i="4"/>
  <c r="M46" i="4"/>
  <c r="O48" i="4"/>
  <c r="L53" i="4"/>
  <c r="M32" i="4"/>
  <c r="L44" i="4"/>
  <c r="M53" i="4"/>
  <c r="O4" i="4"/>
  <c r="M44" i="4"/>
  <c r="I33" i="3"/>
  <c r="I34" i="3"/>
  <c r="I35" i="3"/>
  <c r="I36" i="3"/>
  <c r="I37" i="3"/>
  <c r="I38" i="3"/>
  <c r="I39" i="3"/>
  <c r="I40" i="3"/>
  <c r="I41" i="3"/>
  <c r="J5" i="3"/>
  <c r="L5" i="3" s="1"/>
  <c r="J4" i="3"/>
  <c r="L20" i="3" s="1"/>
  <c r="H8" i="3"/>
  <c r="H10" i="3" s="1"/>
  <c r="G8" i="3"/>
  <c r="G10" i="3" s="1"/>
  <c r="F8" i="3"/>
  <c r="F10" i="3" s="1"/>
  <c r="E8" i="3"/>
  <c r="E10" i="3" s="1"/>
  <c r="D8" i="3"/>
  <c r="D10" i="3" s="1"/>
  <c r="I28" i="3"/>
  <c r="I27" i="3"/>
  <c r="I26" i="3"/>
  <c r="I25" i="3"/>
  <c r="I24" i="3"/>
  <c r="I23" i="3"/>
  <c r="I22" i="3"/>
  <c r="I21" i="3"/>
  <c r="I20" i="3"/>
  <c r="K26" i="2"/>
  <c r="K24" i="2"/>
  <c r="K23" i="2"/>
  <c r="K20" i="2"/>
  <c r="H14" i="2"/>
  <c r="K14" i="2" s="1"/>
  <c r="H11" i="2"/>
  <c r="H14" i="1"/>
  <c r="K14" i="1" s="1"/>
  <c r="H18" i="1"/>
  <c r="K18" i="1" s="1"/>
  <c r="H25" i="1"/>
  <c r="K25" i="1" s="1"/>
  <c r="H24" i="1"/>
  <c r="K24" i="1" s="1"/>
  <c r="H23" i="1"/>
  <c r="K23" i="1" s="1"/>
  <c r="H22" i="1"/>
  <c r="K22" i="1" s="1"/>
  <c r="H21" i="1"/>
  <c r="K21" i="1" s="1"/>
  <c r="H20" i="1"/>
  <c r="K20" i="1" s="1"/>
  <c r="H19" i="1"/>
  <c r="K19" i="1" s="1"/>
  <c r="H17" i="1"/>
  <c r="K17" i="1" s="1"/>
  <c r="H11" i="1"/>
  <c r="N29" i="4" l="1"/>
  <c r="N28" i="4"/>
  <c r="N51" i="4"/>
  <c r="N35" i="4"/>
  <c r="N43" i="4"/>
  <c r="N36" i="4"/>
  <c r="N37" i="4"/>
  <c r="N44" i="4"/>
  <c r="N30" i="4"/>
  <c r="N45" i="4"/>
  <c r="N48" i="4"/>
  <c r="N32" i="4"/>
  <c r="N53" i="4"/>
  <c r="N46" i="4"/>
  <c r="N52" i="4"/>
  <c r="N47" i="4"/>
  <c r="N27" i="4"/>
  <c r="N31" i="4"/>
  <c r="O21" i="4"/>
  <c r="O21" i="3"/>
  <c r="O22" i="3"/>
  <c r="O20" i="3"/>
  <c r="O33" i="3"/>
  <c r="O25" i="3"/>
  <c r="O38" i="3"/>
  <c r="O37" i="3"/>
  <c r="O41" i="3"/>
  <c r="O36" i="3"/>
  <c r="O23" i="3"/>
  <c r="O40" i="3"/>
  <c r="O35" i="3"/>
  <c r="O26" i="3"/>
  <c r="O28" i="3"/>
  <c r="O34" i="3"/>
  <c r="O24" i="3"/>
  <c r="O39" i="3"/>
  <c r="O27" i="3"/>
  <c r="F14" i="3"/>
  <c r="G14" i="3"/>
  <c r="O4" i="3"/>
  <c r="E14" i="3"/>
  <c r="M39" i="3"/>
  <c r="L40" i="3"/>
  <c r="D14" i="3"/>
  <c r="L39" i="3"/>
  <c r="L34" i="3"/>
  <c r="M33" i="3"/>
  <c r="L33" i="3"/>
  <c r="L38" i="3"/>
  <c r="L37" i="3"/>
  <c r="L36" i="3"/>
  <c r="M38" i="3"/>
  <c r="M37" i="3"/>
  <c r="M36" i="3"/>
  <c r="M35" i="3"/>
  <c r="L41" i="3"/>
  <c r="L35" i="3"/>
  <c r="M41" i="3"/>
  <c r="M40" i="3"/>
  <c r="M34" i="3"/>
  <c r="O5" i="3"/>
  <c r="H14" i="3"/>
  <c r="M27" i="3"/>
  <c r="M25" i="3"/>
  <c r="L27" i="3"/>
  <c r="M21" i="3"/>
  <c r="L24" i="3"/>
  <c r="L21" i="3"/>
  <c r="L4" i="3"/>
  <c r="L25" i="3"/>
  <c r="M24" i="3"/>
  <c r="M23" i="3"/>
  <c r="L23" i="3"/>
  <c r="M28" i="3"/>
  <c r="M22" i="3"/>
  <c r="L28" i="3"/>
  <c r="L22" i="3"/>
  <c r="M26" i="3"/>
  <c r="M20" i="3"/>
  <c r="N20" i="3" s="1"/>
  <c r="L26" i="3"/>
  <c r="K19" i="2"/>
  <c r="K21" i="2"/>
  <c r="K25" i="2"/>
  <c r="K18" i="2"/>
  <c r="K22" i="2"/>
  <c r="N28" i="3" l="1"/>
  <c r="N22" i="3"/>
  <c r="N23" i="3"/>
  <c r="N21" i="3"/>
  <c r="N26" i="3"/>
  <c r="N25" i="3"/>
  <c r="N24" i="3"/>
  <c r="N36" i="3"/>
  <c r="N27" i="3"/>
  <c r="N35" i="3"/>
  <c r="N39" i="3"/>
  <c r="N40" i="3"/>
  <c r="N33" i="3"/>
  <c r="N34" i="3"/>
  <c r="N41" i="3"/>
  <c r="N37" i="3"/>
  <c r="N38" i="3"/>
  <c r="O14" i="3"/>
</calcChain>
</file>

<file path=xl/sharedStrings.xml><?xml version="1.0" encoding="utf-8"?>
<sst xmlns="http://schemas.openxmlformats.org/spreadsheetml/2006/main" count="757" uniqueCount="159">
  <si>
    <t>Components</t>
  </si>
  <si>
    <t>Blend</t>
  </si>
  <si>
    <t>Reformate</t>
  </si>
  <si>
    <t>Isomerate</t>
  </si>
  <si>
    <t>Alkylate</t>
  </si>
  <si>
    <t>Cracked</t>
  </si>
  <si>
    <t>Ethanol</t>
  </si>
  <si>
    <t>MIN</t>
  </si>
  <si>
    <t>MAX</t>
  </si>
  <si>
    <t>Density@15°C [kg/l]</t>
  </si>
  <si>
    <t>Vapor Pressure [kPa]</t>
  </si>
  <si>
    <t>Aromates [vol%]</t>
  </si>
  <si>
    <t>Benzene [vol%]</t>
  </si>
  <si>
    <t>Ethanol [vol%]</t>
  </si>
  <si>
    <t>E70 [vol%]</t>
  </si>
  <si>
    <t>E100 [vol%]</t>
  </si>
  <si>
    <t>E150 [vol%]</t>
  </si>
  <si>
    <t>Price [$/m³]</t>
  </si>
  <si>
    <t>blend ratio [vol%]</t>
  </si>
  <si>
    <t>Specs</t>
  </si>
  <si>
    <t>Decision Variables</t>
  </si>
  <si>
    <t>On Spec?</t>
  </si>
  <si>
    <t>Sum of ratios</t>
  </si>
  <si>
    <t>* cursive values are effective property values superseeding real ones</t>
  </si>
  <si>
    <t>upheld?</t>
  </si>
  <si>
    <t>Constraint</t>
  </si>
  <si>
    <t xml:space="preserve"> play around with the decision variables here</t>
  </si>
  <si>
    <t>original ratios</t>
  </si>
  <si>
    <t>Column Descriptions</t>
  </si>
  <si>
    <t>Blend Balance Constraint</t>
  </si>
  <si>
    <t>Solver Settings</t>
  </si>
  <si>
    <t>Description of Solver Settings</t>
  </si>
  <si>
    <t>Objective Function</t>
  </si>
  <si>
    <t>Blend Specficications</t>
  </si>
  <si>
    <t>blend quantity [m³]</t>
  </si>
  <si>
    <t>original quantities</t>
  </si>
  <si>
    <t>Sum of quantities</t>
  </si>
  <si>
    <t>Total Blend Quantity [m³]:</t>
  </si>
  <si>
    <t>Specs x Quantity</t>
  </si>
  <si>
    <t>Price [$]</t>
  </si>
  <si>
    <t>Total components [m³]</t>
  </si>
  <si>
    <t>Total Blends [m³]</t>
  </si>
  <si>
    <t>Max Blend [m³]</t>
  </si>
  <si>
    <t>Max Check</t>
  </si>
  <si>
    <t>Blends</t>
  </si>
  <si>
    <t>Decision Variables [m³]</t>
  </si>
  <si>
    <t>Premium gasoline E10</t>
  </si>
  <si>
    <t>Premium gasoline E5</t>
  </si>
  <si>
    <t>Total blends and constraints</t>
  </si>
  <si>
    <t>Total components and constraints</t>
  </si>
  <si>
    <t>Max components [m³]</t>
  </si>
  <si>
    <t>Sales Price [$/m³]</t>
  </si>
  <si>
    <t>Sales Revenue [$]</t>
  </si>
  <si>
    <t>Objective Function: Sales Part</t>
  </si>
  <si>
    <t>Objective Function: Purchase Part</t>
  </si>
  <si>
    <t>Objective Function: Total</t>
  </si>
  <si>
    <t>Total Profit [$]:</t>
  </si>
  <si>
    <t>Component Costs [$/t]</t>
  </si>
  <si>
    <t>Total Comp. Costs [$]</t>
  </si>
  <si>
    <t>Blend Specficications E10</t>
  </si>
  <si>
    <t>Blend Specficications E5</t>
  </si>
  <si>
    <t>Blend Property</t>
  </si>
  <si>
    <t>Property x</t>
  </si>
  <si>
    <t>Quantity</t>
  </si>
  <si>
    <t>Comp. Density [t/m³]</t>
  </si>
  <si>
    <t>Total components [t]</t>
  </si>
  <si>
    <t>* darker shade is weight based</t>
  </si>
  <si>
    <t>Sulphur [mg/kg]</t>
  </si>
  <si>
    <t>Oxygen [wt%]</t>
  </si>
  <si>
    <t>Alternate base (mass) decision variables</t>
  </si>
  <si>
    <t>Total Blends [t]</t>
  </si>
  <si>
    <t>Solver tolerance for checks</t>
  </si>
  <si>
    <t xml:space="preserve"> * may be necessary for this problem</t>
  </si>
  <si>
    <t>RON</t>
  </si>
  <si>
    <t>Vapor Pressure Index</t>
  </si>
  <si>
    <t>RMK 380 0.5%</t>
  </si>
  <si>
    <t>RMK 380 1.0%</t>
  </si>
  <si>
    <t>RMK 700 2.5%</t>
  </si>
  <si>
    <t>LS Short Residue</t>
  </si>
  <si>
    <t>HS Short Resiude</t>
  </si>
  <si>
    <t>LS VGO</t>
  </si>
  <si>
    <t>HS VGO</t>
  </si>
  <si>
    <t>Max components [t]</t>
  </si>
  <si>
    <t>Decision Variables [t]</t>
  </si>
  <si>
    <t>Max Blend [t]</t>
  </si>
  <si>
    <t>Sales Price [$/t]</t>
  </si>
  <si>
    <t>Component Costs [$/m³]</t>
  </si>
  <si>
    <t>Blend Specficications RMK 380 0.5%</t>
  </si>
  <si>
    <t>Blend Specficications RMK 380 1.0%</t>
  </si>
  <si>
    <t>Viscosity Blend Number</t>
  </si>
  <si>
    <t>Blend Specficications RMK 700 2.5%</t>
  </si>
  <si>
    <t>Prop. Load</t>
  </si>
  <si>
    <t>Slack</t>
  </si>
  <si>
    <t>Max Slack</t>
  </si>
  <si>
    <t>After</t>
  </si>
  <si>
    <t>Bound</t>
  </si>
  <si>
    <t>Bound Max Slack</t>
  </si>
  <si>
    <t>x product quantity</t>
  </si>
  <si>
    <t>Feasible?</t>
  </si>
  <si>
    <t>Slack cost [$/(unit x t)]</t>
  </si>
  <si>
    <t xml:space="preserve">Slack cost </t>
  </si>
  <si>
    <t>Objective Function: Total Profit</t>
  </si>
  <si>
    <t>Objective Function: Total Blend Profit</t>
  </si>
  <si>
    <t>Objective Function: Slack Cost</t>
  </si>
  <si>
    <t>x Quantity</t>
  </si>
  <si>
    <t>Sulfur [m%]</t>
  </si>
  <si>
    <t>Gasoil</t>
  </si>
  <si>
    <t>Ethanol &lt;1.5%</t>
  </si>
  <si>
    <t>Ethanol 1.5-3%</t>
  </si>
  <si>
    <t>Ethanol 3-5%</t>
  </si>
  <si>
    <t>Ethanol 5-7%</t>
  </si>
  <si>
    <t>Ethanol 7-9%</t>
  </si>
  <si>
    <t>Ethanol 9-10%</t>
  </si>
  <si>
    <t>Auxiliary variables E10:</t>
  </si>
  <si>
    <t>Auxiliary variables E5:</t>
  </si>
  <si>
    <t>min blend ratios:</t>
  </si>
  <si>
    <t>max blend ratios:</t>
  </si>
  <si>
    <t>Big M:</t>
  </si>
  <si>
    <t>M*y E10:</t>
  </si>
  <si>
    <t>M*y E5:</t>
  </si>
  <si>
    <t>max ratio * E10:</t>
  </si>
  <si>
    <t>max ratio * E5:</t>
  </si>
  <si>
    <t>min ratio * E10 - 1-y*M:</t>
  </si>
  <si>
    <t>min ratio * E5 - 1-y*M:</t>
  </si>
  <si>
    <t>Check E10:</t>
  </si>
  <si>
    <t>Check E5:</t>
  </si>
  <si>
    <t>max into E10:</t>
  </si>
  <si>
    <t>max into E5:</t>
  </si>
  <si>
    <t>slack E10:</t>
  </si>
  <si>
    <t>slack E5:</t>
  </si>
  <si>
    <t>M * (1-y) E10:</t>
  </si>
  <si>
    <t>M * (1-y) E5:</t>
  </si>
  <si>
    <t>Effective Value</t>
  </si>
  <si>
    <t>Interactions</t>
  </si>
  <si>
    <t>* darker shades are quadratic blends</t>
  </si>
  <si>
    <t>* darker shades are weight based</t>
  </si>
  <si>
    <t>Pools</t>
  </si>
  <si>
    <t>Pool A</t>
  </si>
  <si>
    <t>Pool B</t>
  </si>
  <si>
    <t>Pool</t>
  </si>
  <si>
    <t>Pools Out [t]:</t>
  </si>
  <si>
    <t>Pools In [t]:</t>
  </si>
  <si>
    <t>Pool Property Loads</t>
  </si>
  <si>
    <t>Incoming property loads</t>
  </si>
  <si>
    <t>Assumed property values</t>
  </si>
  <si>
    <t>Assumed property loads</t>
  </si>
  <si>
    <t>Property load slacks</t>
  </si>
  <si>
    <t>Pool Distributions</t>
  </si>
  <si>
    <t>Assumed</t>
  </si>
  <si>
    <t>Actual</t>
  </si>
  <si>
    <t>Delta</t>
  </si>
  <si>
    <t>Actual property values</t>
  </si>
  <si>
    <t>Delta Property values</t>
  </si>
  <si>
    <t>Total property load</t>
  </si>
  <si>
    <t>MAX load</t>
  </si>
  <si>
    <t>Initial assumptions (for resetting)</t>
  </si>
  <si>
    <t>Tolerance</t>
  </si>
  <si>
    <t xml:space="preserve"> copy values to reset to original example blend</t>
  </si>
  <si>
    <t>* try starting with 0s instead of 1s, depending on your version this might return a different 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</si>
</sst>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0.000000000000"/>
    <numFmt numFmtId="167" formatCode="0.0%"/>
  </numFmts>
  <fonts count="2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u/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charset val="1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4"/>
      <name val="Calibri"/>
      <family val="2"/>
      <charset val="1"/>
      <scheme val="minor"/>
    </font>
    <font>
      <sz val="11"/>
      <color theme="0" tint="-0.34998626667073579"/>
      <name val="Calibri"/>
      <family val="2"/>
      <charset val="1"/>
      <scheme val="minor"/>
    </font>
    <font>
      <b/>
      <u/>
      <sz val="11"/>
      <color theme="0"/>
      <name val="Calibri"/>
      <family val="2"/>
      <charset val="1"/>
      <scheme val="minor"/>
    </font>
    <font>
      <sz val="11"/>
      <name val="Calibri"/>
      <family val="2"/>
      <scheme val="minor"/>
    </font>
    <font>
      <sz val="11"/>
      <color theme="2" tint="-0.249977111117893"/>
      <name val="Calibri"/>
      <family val="2"/>
      <charset val="1"/>
      <scheme val="minor"/>
    </font>
    <font>
      <i/>
      <sz val="11"/>
      <color theme="2" tint="-0.249977111117893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7CE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8"/>
      </left>
      <right style="thin">
        <color indexed="64"/>
      </right>
      <top style="thick">
        <color theme="8"/>
      </top>
      <bottom style="thin">
        <color indexed="64"/>
      </bottom>
      <diagonal/>
    </border>
    <border>
      <left style="thin">
        <color indexed="64"/>
      </left>
      <right style="thick">
        <color theme="8"/>
      </right>
      <top style="thick">
        <color theme="8"/>
      </top>
      <bottom style="thin">
        <color indexed="64"/>
      </bottom>
      <diagonal/>
    </border>
    <border>
      <left style="thick">
        <color theme="8"/>
      </left>
      <right style="thin">
        <color indexed="64"/>
      </right>
      <top style="thin">
        <color indexed="64"/>
      </top>
      <bottom style="thick">
        <color theme="8"/>
      </bottom>
      <diagonal/>
    </border>
    <border>
      <left style="thin">
        <color indexed="64"/>
      </left>
      <right style="thick">
        <color theme="8"/>
      </right>
      <top style="thin">
        <color indexed="64"/>
      </top>
      <bottom style="thick">
        <color theme="8"/>
      </bottom>
      <diagonal/>
    </border>
    <border>
      <left style="thick">
        <color theme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theme="8"/>
      </top>
      <bottom style="thin">
        <color indexed="64"/>
      </bottom>
      <diagonal/>
    </border>
    <border>
      <left/>
      <right style="thin">
        <color indexed="64"/>
      </right>
      <top style="thick">
        <color theme="8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8" fillId="16" borderId="0" applyNumberFormat="0" applyBorder="0" applyAlignment="0" applyProtection="0"/>
  </cellStyleXfs>
  <cellXfs count="237">
    <xf numFmtId="0" fontId="0" fillId="0" borderId="0" xfId="0"/>
    <xf numFmtId="164" fontId="0" fillId="4" borderId="4" xfId="0" applyNumberFormat="1" applyFill="1" applyBorder="1"/>
    <xf numFmtId="164" fontId="0" fillId="4" borderId="3" xfId="0" applyNumberFormat="1" applyFill="1" applyBorder="1"/>
    <xf numFmtId="0" fontId="0" fillId="4" borderId="0" xfId="0" applyFill="1" applyBorder="1"/>
    <xf numFmtId="0" fontId="0" fillId="4" borderId="1" xfId="0" applyNumberFormat="1" applyFill="1" applyBorder="1"/>
    <xf numFmtId="0" fontId="0" fillId="4" borderId="0" xfId="0" applyNumberFormat="1" applyFill="1" applyBorder="1"/>
    <xf numFmtId="0" fontId="0" fillId="4" borderId="1" xfId="0" applyFill="1" applyBorder="1"/>
    <xf numFmtId="0" fontId="0" fillId="4" borderId="6" xfId="0" applyFill="1" applyBorder="1"/>
    <xf numFmtId="0" fontId="0" fillId="4" borderId="7" xfId="0" applyFill="1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0" fillId="0" borderId="11" xfId="0" applyBorder="1"/>
    <xf numFmtId="0" fontId="5" fillId="0" borderId="0" xfId="0" applyFont="1"/>
    <xf numFmtId="0" fontId="6" fillId="7" borderId="9" xfId="0" applyFont="1" applyFill="1" applyBorder="1"/>
    <xf numFmtId="0" fontId="0" fillId="7" borderId="4" xfId="0" applyFill="1" applyBorder="1"/>
    <xf numFmtId="0" fontId="0" fillId="7" borderId="3" xfId="0" applyFill="1" applyBorder="1"/>
    <xf numFmtId="0" fontId="3" fillId="7" borderId="3" xfId="0" applyFont="1" applyFill="1" applyBorder="1"/>
    <xf numFmtId="0" fontId="0" fillId="7" borderId="5" xfId="0" applyFill="1" applyBorder="1"/>
    <xf numFmtId="0" fontId="0" fillId="0" borderId="7" xfId="0" applyBorder="1" applyAlignment="1">
      <alignment horizontal="center"/>
    </xf>
    <xf numFmtId="0" fontId="0" fillId="8" borderId="9" xfId="0" applyFill="1" applyBorder="1"/>
    <xf numFmtId="0" fontId="0" fillId="4" borderId="4" xfId="0" applyFill="1" applyBorder="1"/>
    <xf numFmtId="0" fontId="2" fillId="2" borderId="5" xfId="2" applyBorder="1"/>
    <xf numFmtId="0" fontId="2" fillId="2" borderId="2" xfId="2" applyBorder="1"/>
    <xf numFmtId="0" fontId="2" fillId="2" borderId="8" xfId="2" applyBorder="1"/>
    <xf numFmtId="0" fontId="8" fillId="4" borderId="0" xfId="0" applyFont="1" applyFill="1" applyBorder="1"/>
    <xf numFmtId="0" fontId="0" fillId="0" borderId="0" xfId="0" applyAlignment="1">
      <alignment horizontal="right"/>
    </xf>
    <xf numFmtId="0" fontId="9" fillId="0" borderId="0" xfId="0" applyFont="1"/>
    <xf numFmtId="0" fontId="2" fillId="2" borderId="9" xfId="2" applyBorder="1"/>
    <xf numFmtId="0" fontId="3" fillId="3" borderId="10" xfId="0" applyFont="1" applyFill="1" applyBorder="1"/>
    <xf numFmtId="9" fontId="0" fillId="3" borderId="9" xfId="1" applyFont="1" applyFill="1" applyBorder="1"/>
    <xf numFmtId="0" fontId="3" fillId="7" borderId="4" xfId="0" applyFont="1" applyFill="1" applyBorder="1"/>
    <xf numFmtId="164" fontId="0" fillId="7" borderId="4" xfId="0" applyNumberFormat="1" applyFill="1" applyBorder="1"/>
    <xf numFmtId="164" fontId="0" fillId="7" borderId="5" xfId="0" applyNumberFormat="1" applyFill="1" applyBorder="1"/>
    <xf numFmtId="0" fontId="0" fillId="7" borderId="1" xfId="0" applyNumberFormat="1" applyFill="1" applyBorder="1"/>
    <xf numFmtId="0" fontId="0" fillId="7" borderId="2" xfId="0" applyNumberFormat="1" applyFill="1" applyBorder="1"/>
    <xf numFmtId="0" fontId="0" fillId="7" borderId="1" xfId="0" applyFill="1" applyBorder="1"/>
    <xf numFmtId="0" fontId="0" fillId="7" borderId="2" xfId="0" applyFill="1" applyBorder="1"/>
    <xf numFmtId="0" fontId="0" fillId="7" borderId="7" xfId="0" applyFill="1" applyBorder="1"/>
    <xf numFmtId="0" fontId="0" fillId="7" borderId="8" xfId="0" applyFill="1" applyBorder="1"/>
    <xf numFmtId="0" fontId="0" fillId="0" borderId="6" xfId="0" applyBorder="1" applyAlignment="1">
      <alignment horizontal="center"/>
    </xf>
    <xf numFmtId="0" fontId="6" fillId="2" borderId="10" xfId="2" applyFont="1" applyBorder="1"/>
    <xf numFmtId="0" fontId="6" fillId="2" borderId="11" xfId="2" applyFont="1" applyBorder="1"/>
    <xf numFmtId="9" fontId="10" fillId="0" borderId="9" xfId="1" applyFont="1" applyBorder="1"/>
    <xf numFmtId="0" fontId="10" fillId="0" borderId="9" xfId="0" applyFont="1" applyBorder="1"/>
    <xf numFmtId="9" fontId="0" fillId="5" borderId="9" xfId="1" applyNumberFormat="1" applyFont="1" applyFill="1" applyBorder="1" applyProtection="1">
      <protection locked="0"/>
    </xf>
    <xf numFmtId="2" fontId="7" fillId="3" borderId="9" xfId="0" applyNumberFormat="1" applyFont="1" applyFill="1" applyBorder="1"/>
    <xf numFmtId="2" fontId="0" fillId="8" borderId="9" xfId="0" applyNumberFormat="1" applyFill="1" applyBorder="1"/>
    <xf numFmtId="0" fontId="0" fillId="5" borderId="9" xfId="1" applyNumberFormat="1" applyFont="1" applyFill="1" applyBorder="1" applyProtection="1">
      <protection locked="0"/>
    </xf>
    <xf numFmtId="0" fontId="10" fillId="0" borderId="9" xfId="1" applyNumberFormat="1" applyFont="1" applyBorder="1"/>
    <xf numFmtId="1" fontId="7" fillId="3" borderId="9" xfId="0" applyNumberFormat="1" applyFont="1" applyFill="1" applyBorder="1"/>
    <xf numFmtId="1" fontId="0" fillId="8" borderId="9" xfId="0" applyNumberFormat="1" applyFill="1" applyBorder="1"/>
    <xf numFmtId="0" fontId="0" fillId="7" borderId="12" xfId="0" applyFill="1" applyBorder="1"/>
    <xf numFmtId="0" fontId="0" fillId="7" borderId="13" xfId="0" applyFill="1" applyBorder="1" applyAlignment="1">
      <alignment horizontal="right"/>
    </xf>
    <xf numFmtId="0" fontId="0" fillId="3" borderId="9" xfId="1" applyNumberFormat="1" applyFont="1" applyFill="1" applyBorder="1"/>
    <xf numFmtId="1" fontId="0" fillId="7" borderId="4" xfId="0" applyNumberFormat="1" applyFill="1" applyBorder="1"/>
    <xf numFmtId="1" fontId="0" fillId="7" borderId="5" xfId="0" applyNumberFormat="1" applyFill="1" applyBorder="1"/>
    <xf numFmtId="1" fontId="0" fillId="7" borderId="1" xfId="0" applyNumberFormat="1" applyFill="1" applyBorder="1"/>
    <xf numFmtId="1" fontId="0" fillId="7" borderId="2" xfId="0" applyNumberFormat="1" applyFill="1" applyBorder="1"/>
    <xf numFmtId="1" fontId="0" fillId="7" borderId="7" xfId="0" applyNumberFormat="1" applyFill="1" applyBorder="1"/>
    <xf numFmtId="1" fontId="0" fillId="7" borderId="8" xfId="0" applyNumberFormat="1" applyFill="1" applyBorder="1"/>
    <xf numFmtId="0" fontId="7" fillId="7" borderId="9" xfId="0" applyFont="1" applyFill="1" applyBorder="1"/>
    <xf numFmtId="0" fontId="7" fillId="7" borderId="9" xfId="0" applyFont="1" applyFill="1" applyBorder="1" applyAlignment="1">
      <alignment horizontal="right"/>
    </xf>
    <xf numFmtId="0" fontId="4" fillId="7" borderId="9" xfId="0" applyFont="1" applyFill="1" applyBorder="1" applyAlignment="1">
      <alignment horizontal="right"/>
    </xf>
    <xf numFmtId="0" fontId="6" fillId="0" borderId="11" xfId="2" applyFont="1" applyFill="1" applyBorder="1"/>
    <xf numFmtId="0" fontId="6" fillId="0" borderId="5" xfId="0" applyFont="1" applyFill="1" applyBorder="1"/>
    <xf numFmtId="0" fontId="6" fillId="0" borderId="8" xfId="0" applyFont="1" applyFill="1" applyBorder="1"/>
    <xf numFmtId="0" fontId="5" fillId="0" borderId="0" xfId="0" applyFont="1" applyAlignment="1">
      <alignment horizontal="left"/>
    </xf>
    <xf numFmtId="0" fontId="6" fillId="2" borderId="10" xfId="2" applyFont="1" applyBorder="1" applyAlignment="1">
      <alignment horizontal="center"/>
    </xf>
    <xf numFmtId="1" fontId="12" fillId="3" borderId="9" xfId="0" applyNumberFormat="1" applyFont="1" applyFill="1" applyBorder="1"/>
    <xf numFmtId="164" fontId="0" fillId="3" borderId="4" xfId="0" applyNumberFormat="1" applyFill="1" applyBorder="1"/>
    <xf numFmtId="0" fontId="0" fillId="3" borderId="1" xfId="0" applyFill="1" applyBorder="1"/>
    <xf numFmtId="2" fontId="0" fillId="3" borderId="1" xfId="0" applyNumberFormat="1" applyFill="1" applyBorder="1"/>
    <xf numFmtId="0" fontId="0" fillId="3" borderId="7" xfId="0" applyFill="1" applyBorder="1"/>
    <xf numFmtId="1" fontId="0" fillId="5" borderId="13" xfId="1" applyNumberFormat="1" applyFont="1" applyFill="1" applyBorder="1" applyProtection="1">
      <protection locked="0"/>
    </xf>
    <xf numFmtId="1" fontId="0" fillId="5" borderId="9" xfId="1" applyNumberFormat="1" applyFont="1" applyFill="1" applyBorder="1" applyProtection="1">
      <protection locked="0"/>
    </xf>
    <xf numFmtId="0" fontId="6" fillId="3" borderId="10" xfId="2" applyFont="1" applyFill="1" applyBorder="1" applyAlignment="1">
      <alignment horizontal="center"/>
    </xf>
    <xf numFmtId="164" fontId="0" fillId="3" borderId="10" xfId="0" applyNumberFormat="1" applyFill="1" applyBorder="1"/>
    <xf numFmtId="165" fontId="0" fillId="3" borderId="14" xfId="0" applyNumberFormat="1" applyFill="1" applyBorder="1"/>
    <xf numFmtId="165" fontId="0" fillId="3" borderId="11" xfId="0" applyNumberFormat="1" applyFill="1" applyBorder="1"/>
    <xf numFmtId="0" fontId="6" fillId="3" borderId="11" xfId="2" applyFont="1" applyFill="1" applyBorder="1" applyAlignment="1">
      <alignment horizontal="center"/>
    </xf>
    <xf numFmtId="165" fontId="0" fillId="3" borderId="4" xfId="0" applyNumberFormat="1" applyFill="1" applyBorder="1"/>
    <xf numFmtId="165" fontId="0" fillId="3" borderId="1" xfId="0" applyNumberFormat="1" applyFill="1" applyBorder="1"/>
    <xf numFmtId="165" fontId="0" fillId="3" borderId="7" xfId="0" applyNumberFormat="1" applyFill="1" applyBorder="1"/>
    <xf numFmtId="164" fontId="0" fillId="8" borderId="9" xfId="0" applyNumberFormat="1" applyFill="1" applyBorder="1"/>
    <xf numFmtId="0" fontId="0" fillId="9" borderId="1" xfId="0" applyFill="1" applyBorder="1"/>
    <xf numFmtId="0" fontId="0" fillId="9" borderId="0" xfId="0" applyFill="1" applyBorder="1"/>
    <xf numFmtId="165" fontId="0" fillId="10" borderId="1" xfId="0" applyNumberFormat="1" applyFill="1" applyBorder="1"/>
    <xf numFmtId="165" fontId="0" fillId="10" borderId="14" xfId="0" applyNumberFormat="1" applyFill="1" applyBorder="1"/>
    <xf numFmtId="0" fontId="0" fillId="11" borderId="1" xfId="0" applyFill="1" applyBorder="1"/>
    <xf numFmtId="0" fontId="0" fillId="11" borderId="2" xfId="0" applyFill="1" applyBorder="1"/>
    <xf numFmtId="1" fontId="0" fillId="11" borderId="1" xfId="0" applyNumberFormat="1" applyFill="1" applyBorder="1"/>
    <xf numFmtId="1" fontId="0" fillId="11" borderId="2" xfId="0" applyNumberFormat="1" applyFill="1" applyBorder="1"/>
    <xf numFmtId="0" fontId="6" fillId="0" borderId="10" xfId="0" applyFont="1" applyFill="1" applyBorder="1"/>
    <xf numFmtId="0" fontId="6" fillId="0" borderId="9" xfId="0" applyFont="1" applyFill="1" applyBorder="1"/>
    <xf numFmtId="165" fontId="0" fillId="3" borderId="9" xfId="0" applyNumberFormat="1" applyFill="1" applyBorder="1"/>
    <xf numFmtId="166" fontId="0" fillId="0" borderId="0" xfId="0" applyNumberFormat="1"/>
    <xf numFmtId="165" fontId="0" fillId="11" borderId="2" xfId="0" applyNumberFormat="1" applyFill="1" applyBorder="1"/>
    <xf numFmtId="165" fontId="0" fillId="7" borderId="4" xfId="0" applyNumberFormat="1" applyFill="1" applyBorder="1"/>
    <xf numFmtId="165" fontId="0" fillId="7" borderId="5" xfId="0" applyNumberFormat="1" applyFill="1" applyBorder="1"/>
    <xf numFmtId="165" fontId="0" fillId="7" borderId="1" xfId="0" applyNumberFormat="1" applyFill="1" applyBorder="1"/>
    <xf numFmtId="165" fontId="0" fillId="7" borderId="2" xfId="0" applyNumberFormat="1" applyFill="1" applyBorder="1"/>
    <xf numFmtId="165" fontId="0" fillId="11" borderId="1" xfId="0" applyNumberFormat="1" applyFill="1" applyBorder="1"/>
    <xf numFmtId="165" fontId="0" fillId="7" borderId="7" xfId="0" applyNumberFormat="1" applyFill="1" applyBorder="1"/>
    <xf numFmtId="165" fontId="0" fillId="7" borderId="8" xfId="0" applyNumberFormat="1" applyFill="1" applyBorder="1"/>
    <xf numFmtId="0" fontId="0" fillId="12" borderId="9" xfId="0" applyFill="1" applyBorder="1"/>
    <xf numFmtId="0" fontId="13" fillId="4" borderId="12" xfId="0" applyFont="1" applyFill="1" applyBorder="1"/>
    <xf numFmtId="0" fontId="13" fillId="4" borderId="15" xfId="0" applyFont="1" applyFill="1" applyBorder="1"/>
    <xf numFmtId="0" fontId="14" fillId="4" borderId="15" xfId="0" applyFont="1" applyFill="1" applyBorder="1"/>
    <xf numFmtId="165" fontId="13" fillId="3" borderId="12" xfId="0" applyNumberFormat="1" applyFont="1" applyFill="1" applyBorder="1"/>
    <xf numFmtId="0" fontId="13" fillId="7" borderId="12" xfId="0" applyFont="1" applyFill="1" applyBorder="1"/>
    <xf numFmtId="0" fontId="13" fillId="7" borderId="13" xfId="0" applyFont="1" applyFill="1" applyBorder="1"/>
    <xf numFmtId="165" fontId="13" fillId="7" borderId="12" xfId="0" applyNumberFormat="1" applyFont="1" applyFill="1" applyBorder="1"/>
    <xf numFmtId="165" fontId="13" fillId="7" borderId="13" xfId="0" applyNumberFormat="1" applyFont="1" applyFill="1" applyBorder="1"/>
    <xf numFmtId="0" fontId="13" fillId="2" borderId="13" xfId="2" applyFont="1" applyBorder="1"/>
    <xf numFmtId="165" fontId="13" fillId="3" borderId="9" xfId="0" applyNumberFormat="1" applyFont="1" applyFill="1" applyBorder="1"/>
    <xf numFmtId="165" fontId="0" fillId="4" borderId="1" xfId="0" applyNumberFormat="1" applyFill="1" applyBorder="1"/>
    <xf numFmtId="165" fontId="0" fillId="4" borderId="0" xfId="0" applyNumberFormat="1" applyFill="1" applyBorder="1"/>
    <xf numFmtId="165" fontId="15" fillId="4" borderId="0" xfId="0" applyNumberFormat="1" applyFont="1" applyFill="1" applyBorder="1"/>
    <xf numFmtId="0" fontId="6" fillId="0" borderId="2" xfId="0" applyFont="1" applyFill="1" applyBorder="1"/>
    <xf numFmtId="165" fontId="0" fillId="4" borderId="4" xfId="0" applyNumberFormat="1" applyFill="1" applyBorder="1"/>
    <xf numFmtId="165" fontId="0" fillId="4" borderId="3" xfId="0" applyNumberFormat="1" applyFill="1" applyBorder="1"/>
    <xf numFmtId="0" fontId="0" fillId="5" borderId="9" xfId="0" applyFill="1" applyBorder="1"/>
    <xf numFmtId="0" fontId="0" fillId="13" borderId="10" xfId="0" applyFill="1" applyBorder="1"/>
    <xf numFmtId="0" fontId="0" fillId="13" borderId="11" xfId="0" applyFill="1" applyBorder="1"/>
    <xf numFmtId="0" fontId="0" fillId="5" borderId="12" xfId="0" applyFill="1" applyBorder="1"/>
    <xf numFmtId="0" fontId="0" fillId="7" borderId="6" xfId="0" applyFill="1" applyBorder="1"/>
    <xf numFmtId="0" fontId="6" fillId="3" borderId="14" xfId="2" applyFont="1" applyFill="1" applyBorder="1" applyAlignment="1">
      <alignment horizontal="center"/>
    </xf>
    <xf numFmtId="165" fontId="0" fillId="3" borderId="10" xfId="0" applyNumberFormat="1" applyFill="1" applyBorder="1"/>
    <xf numFmtId="0" fontId="0" fillId="13" borderId="10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6" fillId="0" borderId="14" xfId="2" applyFont="1" applyFill="1" applyBorder="1"/>
    <xf numFmtId="1" fontId="0" fillId="8" borderId="10" xfId="0" applyNumberFormat="1" applyFill="1" applyBorder="1"/>
    <xf numFmtId="1" fontId="0" fillId="8" borderId="11" xfId="0" applyNumberFormat="1" applyFill="1" applyBorder="1"/>
    <xf numFmtId="0" fontId="0" fillId="7" borderId="3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2" fontId="0" fillId="3" borderId="10" xfId="0" applyNumberFormat="1" applyFill="1" applyBorder="1"/>
    <xf numFmtId="2" fontId="0" fillId="7" borderId="5" xfId="0" applyNumberFormat="1" applyFill="1" applyBorder="1"/>
    <xf numFmtId="1" fontId="0" fillId="14" borderId="9" xfId="1" applyNumberFormat="1" applyFont="1" applyFill="1" applyBorder="1" applyProtection="1">
      <protection locked="0"/>
    </xf>
    <xf numFmtId="167" fontId="0" fillId="8" borderId="9" xfId="1" applyNumberFormat="1" applyFont="1" applyFill="1" applyBorder="1"/>
    <xf numFmtId="0" fontId="0" fillId="0" borderId="0" xfId="0" applyFill="1" applyBorder="1" applyAlignment="1">
      <alignment horizontal="right"/>
    </xf>
    <xf numFmtId="0" fontId="16" fillId="4" borderId="0" xfId="0" applyFont="1" applyFill="1" applyBorder="1"/>
    <xf numFmtId="1" fontId="0" fillId="15" borderId="9" xfId="1" applyNumberFormat="1" applyFont="1" applyFill="1" applyBorder="1" applyProtection="1">
      <protection locked="0"/>
    </xf>
    <xf numFmtId="0" fontId="17" fillId="3" borderId="10" xfId="2" applyFont="1" applyFill="1" applyBorder="1" applyAlignment="1">
      <alignment horizontal="center"/>
    </xf>
    <xf numFmtId="0" fontId="17" fillId="3" borderId="11" xfId="2" applyFont="1" applyFill="1" applyBorder="1" applyAlignment="1">
      <alignment horizontal="center"/>
    </xf>
    <xf numFmtId="164" fontId="0" fillId="3" borderId="3" xfId="0" applyNumberFormat="1" applyFill="1" applyBorder="1"/>
    <xf numFmtId="0" fontId="0" fillId="3" borderId="0" xfId="0" applyNumberFormat="1" applyFill="1" applyBorder="1"/>
    <xf numFmtId="0" fontId="8" fillId="3" borderId="0" xfId="0" applyFont="1" applyFill="1" applyBorder="1"/>
    <xf numFmtId="0" fontId="0" fillId="3" borderId="0" xfId="0" applyFill="1" applyBorder="1"/>
    <xf numFmtId="0" fontId="0" fillId="3" borderId="6" xfId="0" applyFill="1" applyBorder="1"/>
    <xf numFmtId="0" fontId="16" fillId="3" borderId="0" xfId="0" applyFont="1" applyFill="1" applyBorder="1"/>
    <xf numFmtId="0" fontId="0" fillId="9" borderId="1" xfId="0" applyNumberFormat="1" applyFill="1" applyBorder="1"/>
    <xf numFmtId="0" fontId="0" fillId="9" borderId="0" xfId="0" applyNumberFormat="1" applyFill="1" applyBorder="1"/>
    <xf numFmtId="0" fontId="0" fillId="11" borderId="1" xfId="0" applyNumberFormat="1" applyFill="1" applyBorder="1"/>
    <xf numFmtId="0" fontId="0" fillId="11" borderId="2" xfId="0" applyNumberFormat="1" applyFill="1" applyBorder="1"/>
    <xf numFmtId="1" fontId="0" fillId="13" borderId="13" xfId="1" applyNumberFormat="1" applyFont="1" applyFill="1" applyBorder="1" applyProtection="1">
      <protection locked="0"/>
    </xf>
    <xf numFmtId="1" fontId="0" fillId="13" borderId="9" xfId="1" applyNumberFormat="1" applyFont="1" applyFill="1" applyBorder="1" applyProtection="1">
      <protection locked="0"/>
    </xf>
    <xf numFmtId="0" fontId="0" fillId="4" borderId="5" xfId="0" applyFill="1" applyBorder="1" applyAlignment="1">
      <alignment horizontal="right"/>
    </xf>
    <xf numFmtId="0" fontId="0" fillId="4" borderId="8" xfId="0" applyFill="1" applyBorder="1" applyAlignment="1">
      <alignment horizontal="right"/>
    </xf>
    <xf numFmtId="0" fontId="6" fillId="13" borderId="0" xfId="0" applyFont="1" applyFill="1" applyBorder="1" applyAlignment="1">
      <alignment horizontal="right"/>
    </xf>
    <xf numFmtId="0" fontId="6" fillId="13" borderId="4" xfId="0" applyFont="1" applyFill="1" applyBorder="1" applyAlignment="1">
      <alignment horizontal="right"/>
    </xf>
    <xf numFmtId="0" fontId="6" fillId="13" borderId="5" xfId="0" applyFont="1" applyFill="1" applyBorder="1" applyAlignment="1">
      <alignment horizontal="right"/>
    </xf>
    <xf numFmtId="0" fontId="6" fillId="13" borderId="1" xfId="0" applyFont="1" applyFill="1" applyBorder="1" applyAlignment="1">
      <alignment horizontal="right"/>
    </xf>
    <xf numFmtId="0" fontId="6" fillId="13" borderId="2" xfId="0" applyFont="1" applyFill="1" applyBorder="1" applyAlignment="1">
      <alignment horizontal="right"/>
    </xf>
    <xf numFmtId="0" fontId="6" fillId="13" borderId="7" xfId="0" applyFont="1" applyFill="1" applyBorder="1" applyAlignment="1">
      <alignment horizontal="right"/>
    </xf>
    <xf numFmtId="0" fontId="6" fillId="13" borderId="8" xfId="0" applyFont="1" applyFill="1" applyBorder="1" applyAlignment="1">
      <alignment horizontal="right"/>
    </xf>
    <xf numFmtId="165" fontId="12" fillId="3" borderId="9" xfId="0" applyNumberFormat="1" applyFont="1" applyFill="1" applyBorder="1"/>
    <xf numFmtId="0" fontId="0" fillId="3" borderId="12" xfId="0" applyFill="1" applyBorder="1"/>
    <xf numFmtId="1" fontId="0" fillId="3" borderId="13" xfId="0" applyNumberFormat="1" applyFill="1" applyBorder="1"/>
    <xf numFmtId="0" fontId="0" fillId="8" borderId="13" xfId="1" applyNumberFormat="1" applyFont="1" applyFill="1" applyBorder="1"/>
    <xf numFmtId="0" fontId="0" fillId="7" borderId="9" xfId="0" applyFill="1" applyBorder="1" applyAlignment="1">
      <alignment horizontal="center"/>
    </xf>
    <xf numFmtId="2" fontId="0" fillId="3" borderId="9" xfId="0" applyNumberFormat="1" applyFill="1" applyBorder="1"/>
    <xf numFmtId="165" fontId="12" fillId="4" borderId="9" xfId="0" applyNumberFormat="1" applyFont="1" applyFill="1" applyBorder="1"/>
    <xf numFmtId="0" fontId="0" fillId="4" borderId="3" xfId="0" applyFill="1" applyBorder="1" applyAlignment="1">
      <alignment horizontal="right"/>
    </xf>
    <xf numFmtId="0" fontId="0" fillId="4" borderId="6" xfId="0" applyFill="1" applyBorder="1" applyAlignment="1">
      <alignment horizontal="right"/>
    </xf>
    <xf numFmtId="165" fontId="0" fillId="8" borderId="16" xfId="0" applyNumberFormat="1" applyFill="1" applyBorder="1"/>
    <xf numFmtId="165" fontId="0" fillId="8" borderId="17" xfId="0" applyNumberFormat="1" applyFill="1" applyBorder="1"/>
    <xf numFmtId="165" fontId="0" fillId="8" borderId="18" xfId="0" applyNumberFormat="1" applyFill="1" applyBorder="1"/>
    <xf numFmtId="165" fontId="0" fillId="8" borderId="19" xfId="0" applyNumberFormat="1" applyFill="1" applyBorder="1"/>
    <xf numFmtId="0" fontId="6" fillId="13" borderId="3" xfId="0" applyFont="1" applyFill="1" applyBorder="1" applyAlignment="1">
      <alignment horizontal="right"/>
    </xf>
    <xf numFmtId="0" fontId="6" fillId="13" borderId="6" xfId="0" applyFont="1" applyFill="1" applyBorder="1" applyAlignment="1">
      <alignment horizontal="right"/>
    </xf>
    <xf numFmtId="167" fontId="0" fillId="8" borderId="16" xfId="1" applyNumberFormat="1" applyFont="1" applyFill="1" applyBorder="1"/>
    <xf numFmtId="167" fontId="0" fillId="8" borderId="17" xfId="1" applyNumberFormat="1" applyFont="1" applyFill="1" applyBorder="1"/>
    <xf numFmtId="167" fontId="0" fillId="8" borderId="20" xfId="1" applyNumberFormat="1" applyFont="1" applyFill="1" applyBorder="1"/>
    <xf numFmtId="167" fontId="0" fillId="8" borderId="21" xfId="1" applyNumberFormat="1" applyFont="1" applyFill="1" applyBorder="1"/>
    <xf numFmtId="167" fontId="0" fillId="8" borderId="18" xfId="1" applyNumberFormat="1" applyFont="1" applyFill="1" applyBorder="1"/>
    <xf numFmtId="167" fontId="0" fillId="8" borderId="19" xfId="1" applyNumberFormat="1" applyFont="1" applyFill="1" applyBorder="1"/>
    <xf numFmtId="0" fontId="0" fillId="11" borderId="9" xfId="0" applyFill="1" applyBorder="1" applyAlignment="1">
      <alignment horizontal="center"/>
    </xf>
    <xf numFmtId="165" fontId="18" fillId="16" borderId="9" xfId="3" applyNumberFormat="1" applyBorder="1"/>
    <xf numFmtId="167" fontId="18" fillId="16" borderId="9" xfId="3" applyNumberFormat="1" applyBorder="1"/>
    <xf numFmtId="165" fontId="0" fillId="8" borderId="22" xfId="0" applyNumberFormat="1" applyFill="1" applyBorder="1"/>
    <xf numFmtId="165" fontId="0" fillId="8" borderId="23" xfId="0" applyNumberFormat="1" applyFill="1" applyBorder="1"/>
    <xf numFmtId="165" fontId="0" fillId="8" borderId="24" xfId="0" applyNumberFormat="1" applyFill="1" applyBorder="1"/>
    <xf numFmtId="165" fontId="0" fillId="8" borderId="25" xfId="0" applyNumberFormat="1" applyFill="1" applyBorder="1"/>
    <xf numFmtId="165" fontId="12" fillId="3" borderId="22" xfId="0" applyNumberFormat="1" applyFont="1" applyFill="1" applyBorder="1"/>
    <xf numFmtId="165" fontId="12" fillId="3" borderId="23" xfId="0" applyNumberFormat="1" applyFont="1" applyFill="1" applyBorder="1"/>
    <xf numFmtId="165" fontId="12" fillId="3" borderId="24" xfId="0" applyNumberFormat="1" applyFont="1" applyFill="1" applyBorder="1"/>
    <xf numFmtId="165" fontId="12" fillId="3" borderId="25" xfId="0" applyNumberFormat="1" applyFont="1" applyFill="1" applyBorder="1"/>
    <xf numFmtId="167" fontId="0" fillId="8" borderId="22" xfId="1" applyNumberFormat="1" applyFont="1" applyFill="1" applyBorder="1"/>
    <xf numFmtId="167" fontId="0" fillId="8" borderId="23" xfId="1" applyNumberFormat="1" applyFont="1" applyFill="1" applyBorder="1"/>
    <xf numFmtId="167" fontId="0" fillId="8" borderId="26" xfId="1" applyNumberFormat="1" applyFont="1" applyFill="1" applyBorder="1"/>
    <xf numFmtId="167" fontId="0" fillId="8" borderId="27" xfId="1" applyNumberFormat="1" applyFont="1" applyFill="1" applyBorder="1"/>
    <xf numFmtId="167" fontId="0" fillId="8" borderId="24" xfId="1" applyNumberFormat="1" applyFont="1" applyFill="1" applyBorder="1"/>
    <xf numFmtId="167" fontId="0" fillId="8" borderId="25" xfId="1" applyNumberFormat="1" applyFont="1" applyFill="1" applyBorder="1"/>
    <xf numFmtId="167" fontId="12" fillId="3" borderId="22" xfId="1" applyNumberFormat="1" applyFont="1" applyFill="1" applyBorder="1"/>
    <xf numFmtId="167" fontId="12" fillId="3" borderId="23" xfId="1" applyNumberFormat="1" applyFont="1" applyFill="1" applyBorder="1"/>
    <xf numFmtId="167" fontId="12" fillId="3" borderId="26" xfId="1" applyNumberFormat="1" applyFont="1" applyFill="1" applyBorder="1"/>
    <xf numFmtId="167" fontId="12" fillId="3" borderId="27" xfId="1" applyNumberFormat="1" applyFont="1" applyFill="1" applyBorder="1"/>
    <xf numFmtId="167" fontId="12" fillId="3" borderId="24" xfId="1" applyNumberFormat="1" applyFont="1" applyFill="1" applyBorder="1"/>
    <xf numFmtId="167" fontId="12" fillId="3" borderId="25" xfId="1" applyNumberFormat="1" applyFont="1" applyFill="1" applyBorder="1"/>
    <xf numFmtId="0" fontId="0" fillId="7" borderId="4" xfId="0" applyFill="1" applyBorder="1" applyAlignment="1">
      <alignment horizontal="center" textRotation="90"/>
    </xf>
    <xf numFmtId="0" fontId="0" fillId="7" borderId="7" xfId="0" applyFill="1" applyBorder="1" applyAlignment="1">
      <alignment horizontal="center" textRotation="90"/>
    </xf>
    <xf numFmtId="0" fontId="11" fillId="6" borderId="4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textRotation="90"/>
    </xf>
    <xf numFmtId="0" fontId="0" fillId="7" borderId="12" xfId="0" applyFont="1" applyFill="1" applyBorder="1" applyAlignment="1">
      <alignment horizontal="center"/>
    </xf>
    <xf numFmtId="0" fontId="0" fillId="7" borderId="13" xfId="0" applyFont="1" applyFill="1" applyBorder="1" applyAlignment="1">
      <alignment horizontal="center"/>
    </xf>
    <xf numFmtId="165" fontId="19" fillId="7" borderId="4" xfId="0" applyNumberFormat="1" applyFont="1" applyFill="1" applyBorder="1" applyAlignment="1">
      <alignment horizontal="center"/>
    </xf>
    <xf numFmtId="165" fontId="19" fillId="7" borderId="5" xfId="0" applyNumberFormat="1" applyFont="1" applyFill="1" applyBorder="1" applyAlignment="1">
      <alignment horizontal="center"/>
    </xf>
    <xf numFmtId="0" fontId="0" fillId="7" borderId="7" xfId="0" applyFont="1" applyFill="1" applyBorder="1" applyAlignment="1">
      <alignment horizontal="center"/>
    </xf>
    <xf numFmtId="0" fontId="0" fillId="7" borderId="8" xfId="0" applyFont="1" applyFill="1" applyBorder="1" applyAlignment="1">
      <alignment horizontal="center"/>
    </xf>
    <xf numFmtId="165" fontId="0" fillId="7" borderId="4" xfId="0" applyNumberFormat="1" applyFont="1" applyFill="1" applyBorder="1" applyAlignment="1">
      <alignment horizontal="center"/>
    </xf>
    <xf numFmtId="165" fontId="0" fillId="7" borderId="5" xfId="0" applyNumberFormat="1" applyFont="1" applyFill="1" applyBorder="1" applyAlignment="1">
      <alignment horizontal="center"/>
    </xf>
    <xf numFmtId="165" fontId="0" fillId="7" borderId="28" xfId="0" applyNumberFormat="1" applyFont="1" applyFill="1" applyBorder="1" applyAlignment="1">
      <alignment horizontal="center"/>
    </xf>
    <xf numFmtId="165" fontId="0" fillId="7" borderId="29" xfId="0" applyNumberFormat="1" applyFont="1" applyFill="1" applyBorder="1" applyAlignment="1">
      <alignment horizontal="center"/>
    </xf>
    <xf numFmtId="165" fontId="0" fillId="7" borderId="12" xfId="0" applyNumberFormat="1" applyFont="1" applyFill="1" applyBorder="1" applyAlignment="1">
      <alignment horizontal="center"/>
    </xf>
    <xf numFmtId="165" fontId="0" fillId="7" borderId="13" xfId="0" applyNumberFormat="1" applyFont="1" applyFill="1" applyBorder="1" applyAlignment="1">
      <alignment horizontal="center"/>
    </xf>
    <xf numFmtId="0" fontId="0" fillId="7" borderId="4" xfId="0" applyFont="1" applyFill="1" applyBorder="1" applyAlignment="1">
      <alignment horizontal="center"/>
    </xf>
    <xf numFmtId="0" fontId="0" fillId="7" borderId="5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</cellXfs>
  <cellStyles count="4">
    <cellStyle name="Bad" xfId="3" builtinId="27"/>
    <cellStyle name="Good" xfId="2" builtinId="26"/>
    <cellStyle name="Normal" xfId="0" builtinId="0"/>
    <cellStyle name="Percent" xfId="1" builtinId="5"/>
  </cellStyles>
  <dxfs count="6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2</xdr:row>
      <xdr:rowOff>28575</xdr:rowOff>
    </xdr:from>
    <xdr:to>
      <xdr:col>25</xdr:col>
      <xdr:colOff>57150</xdr:colOff>
      <xdr:row>31</xdr:row>
      <xdr:rowOff>165711</xdr:rowOff>
    </xdr:to>
    <xdr:grpSp>
      <xdr:nvGrpSpPr>
        <xdr:cNvPr id="29" name="Group 28"/>
        <xdr:cNvGrpSpPr/>
      </xdr:nvGrpSpPr>
      <xdr:grpSpPr>
        <a:xfrm>
          <a:off x="8829675" y="333375"/>
          <a:ext cx="7934325" cy="5661636"/>
          <a:chOff x="8829675" y="333375"/>
          <a:chExt cx="7934325" cy="5661636"/>
        </a:xfrm>
      </xdr:grpSpPr>
      <xdr:pic>
        <xdr:nvPicPr>
          <xdr:cNvPr id="2" name="Picture 1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8829675" y="333375"/>
            <a:ext cx="5432883" cy="5661636"/>
          </a:xfrm>
          <a:prstGeom prst="rect">
            <a:avLst/>
          </a:prstGeom>
        </xdr:spPr>
      </xdr:pic>
      <xdr:sp macro="" textlink="">
        <xdr:nvSpPr>
          <xdr:cNvPr id="5" name="Rounded Rectangle 4"/>
          <xdr:cNvSpPr/>
        </xdr:nvSpPr>
        <xdr:spPr>
          <a:xfrm>
            <a:off x="9020175" y="1524000"/>
            <a:ext cx="1543050" cy="428625"/>
          </a:xfrm>
          <a:prstGeom prst="roundRect">
            <a:avLst/>
          </a:prstGeom>
          <a:noFill/>
          <a:ln w="38100" cap="flat" cmpd="sng" algn="ctr">
            <a:solidFill>
              <a:schemeClr val="accent2"/>
            </a:solidFill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accent2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6" name="Rounded Rectangle 5"/>
          <xdr:cNvSpPr/>
        </xdr:nvSpPr>
        <xdr:spPr>
          <a:xfrm>
            <a:off x="9020175" y="2047875"/>
            <a:ext cx="1676400" cy="676275"/>
          </a:xfrm>
          <a:prstGeom prst="roundRect">
            <a:avLst/>
          </a:prstGeom>
          <a:noFill/>
          <a:ln w="38100" cap="flat" cmpd="sng" algn="ctr">
            <a:solidFill>
              <a:schemeClr val="accent2"/>
            </a:solidFill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accent2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7" name="Rounded Rectangle 6"/>
          <xdr:cNvSpPr/>
        </xdr:nvSpPr>
        <xdr:spPr>
          <a:xfrm>
            <a:off x="9048749" y="3838575"/>
            <a:ext cx="2562225" cy="266700"/>
          </a:xfrm>
          <a:prstGeom prst="roundRect">
            <a:avLst/>
          </a:prstGeom>
          <a:noFill/>
          <a:ln w="38100" cap="flat" cmpd="sng" algn="ctr">
            <a:solidFill>
              <a:schemeClr val="accent2"/>
            </a:solidFill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accent2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8" name="Rounded Rectangle 7"/>
          <xdr:cNvSpPr/>
        </xdr:nvSpPr>
        <xdr:spPr>
          <a:xfrm>
            <a:off x="10058400" y="4143375"/>
            <a:ext cx="2828925" cy="323850"/>
          </a:xfrm>
          <a:prstGeom prst="roundRect">
            <a:avLst/>
          </a:prstGeom>
          <a:noFill/>
          <a:ln w="38100" cap="flat" cmpd="sng" algn="ctr">
            <a:solidFill>
              <a:schemeClr val="accent2"/>
            </a:solidFill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accent2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9" name="Rounded Rectangle 8"/>
          <xdr:cNvSpPr/>
        </xdr:nvSpPr>
        <xdr:spPr>
          <a:xfrm>
            <a:off x="9020175" y="752475"/>
            <a:ext cx="3076575" cy="676275"/>
          </a:xfrm>
          <a:prstGeom prst="roundRect">
            <a:avLst/>
          </a:prstGeom>
          <a:noFill/>
          <a:ln w="38100" cap="flat" cmpd="sng" algn="ctr">
            <a:solidFill>
              <a:schemeClr val="accent2"/>
            </a:solidFill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accent2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4" name="Rounded Rectangle 13"/>
          <xdr:cNvSpPr/>
        </xdr:nvSpPr>
        <xdr:spPr>
          <a:xfrm>
            <a:off x="12553950" y="2200275"/>
            <a:ext cx="1619250" cy="1019175"/>
          </a:xfrm>
          <a:prstGeom prst="roundRect">
            <a:avLst/>
          </a:prstGeom>
          <a:noFill/>
          <a:ln w="38100" cap="flat" cmpd="sng" algn="ctr">
            <a:solidFill>
              <a:schemeClr val="accent2"/>
            </a:solidFill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accent2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7" name="Line Callout 2 16"/>
          <xdr:cNvSpPr/>
        </xdr:nvSpPr>
        <xdr:spPr>
          <a:xfrm>
            <a:off x="14878050" y="685800"/>
            <a:ext cx="1885950" cy="285750"/>
          </a:xfrm>
          <a:prstGeom prst="borderCallout2">
            <a:avLst>
              <a:gd name="adj1" fmla="val 18750"/>
              <a:gd name="adj2" fmla="val -8333"/>
              <a:gd name="adj3" fmla="val 18750"/>
              <a:gd name="adj4" fmla="val -16667"/>
              <a:gd name="adj5" fmla="val 139041"/>
              <a:gd name="adj6" fmla="val -140758"/>
            </a:avLst>
          </a:prstGeom>
          <a:ln w="19050"/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set</a:t>
            </a:r>
            <a:r>
              <a:rPr lang="en-US" sz="1100" baseline="0"/>
              <a:t> objective function here</a:t>
            </a:r>
            <a:endParaRPr lang="en-US" sz="1100"/>
          </a:p>
        </xdr:txBody>
      </xdr:sp>
      <xdr:sp macro="" textlink="">
        <xdr:nvSpPr>
          <xdr:cNvPr id="18" name="Line Callout 2 17"/>
          <xdr:cNvSpPr/>
        </xdr:nvSpPr>
        <xdr:spPr>
          <a:xfrm>
            <a:off x="14878050" y="1638300"/>
            <a:ext cx="1885950" cy="285750"/>
          </a:xfrm>
          <a:prstGeom prst="borderCallout2">
            <a:avLst>
              <a:gd name="adj1" fmla="val 18750"/>
              <a:gd name="adj2" fmla="val -8333"/>
              <a:gd name="adj3" fmla="val 18750"/>
              <a:gd name="adj4" fmla="val -16667"/>
              <a:gd name="adj5" fmla="val -14293"/>
              <a:gd name="adj6" fmla="val -226112"/>
            </a:avLst>
          </a:prstGeom>
          <a:ln w="19050"/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define</a:t>
            </a:r>
            <a:r>
              <a:rPr lang="en-US" sz="1100" baseline="0"/>
              <a:t> decision variables here</a:t>
            </a:r>
            <a:endParaRPr lang="en-US" sz="1100"/>
          </a:p>
        </xdr:txBody>
      </xdr:sp>
      <xdr:sp macro="" textlink="">
        <xdr:nvSpPr>
          <xdr:cNvPr id="19" name="Line Callout 2 18"/>
          <xdr:cNvSpPr/>
        </xdr:nvSpPr>
        <xdr:spPr>
          <a:xfrm>
            <a:off x="14878050" y="2019300"/>
            <a:ext cx="1885950" cy="285750"/>
          </a:xfrm>
          <a:prstGeom prst="borderCallout2">
            <a:avLst>
              <a:gd name="adj1" fmla="val 18750"/>
              <a:gd name="adj2" fmla="val -8333"/>
              <a:gd name="adj3" fmla="val 18750"/>
              <a:gd name="adj4" fmla="val -16667"/>
              <a:gd name="adj5" fmla="val 42374"/>
              <a:gd name="adj6" fmla="val -217021"/>
            </a:avLst>
          </a:prstGeom>
          <a:ln w="19050"/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constraints are listed here</a:t>
            </a:r>
          </a:p>
        </xdr:txBody>
      </xdr:sp>
      <xdr:sp macro="" textlink="">
        <xdr:nvSpPr>
          <xdr:cNvPr id="20" name="Line Callout 2 19"/>
          <xdr:cNvSpPr/>
        </xdr:nvSpPr>
        <xdr:spPr>
          <a:xfrm>
            <a:off x="14878050" y="2590800"/>
            <a:ext cx="1885950" cy="285750"/>
          </a:xfrm>
          <a:prstGeom prst="borderCallout2">
            <a:avLst>
              <a:gd name="adj1" fmla="val 18750"/>
              <a:gd name="adj2" fmla="val -8333"/>
              <a:gd name="adj3" fmla="val 18750"/>
              <a:gd name="adj4" fmla="val -16667"/>
              <a:gd name="adj5" fmla="val 45708"/>
              <a:gd name="adj6" fmla="val -34698"/>
            </a:avLst>
          </a:prstGeom>
          <a:ln w="19050"/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modify constraints here</a:t>
            </a:r>
          </a:p>
        </xdr:txBody>
      </xdr:sp>
      <xdr:sp macro="" textlink="">
        <xdr:nvSpPr>
          <xdr:cNvPr id="24" name="Line Callout 2 23"/>
          <xdr:cNvSpPr/>
        </xdr:nvSpPr>
        <xdr:spPr>
          <a:xfrm>
            <a:off x="14878050" y="3924300"/>
            <a:ext cx="1885950" cy="466726"/>
          </a:xfrm>
          <a:prstGeom prst="borderCallout2">
            <a:avLst>
              <a:gd name="adj1" fmla="val 18750"/>
              <a:gd name="adj2" fmla="val -8333"/>
              <a:gd name="adj3" fmla="val 18750"/>
              <a:gd name="adj4" fmla="val -16667"/>
              <a:gd name="adj5" fmla="val 3804"/>
              <a:gd name="adj6" fmla="val -168536"/>
            </a:avLst>
          </a:prstGeom>
          <a:ln w="19050"/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this takes care of the </a:t>
            </a:r>
            <a:br>
              <a:rPr lang="en-US" sz="1100"/>
            </a:br>
            <a:r>
              <a:rPr lang="en-US" sz="1100"/>
              <a:t>non-negativity constraints</a:t>
            </a:r>
          </a:p>
        </xdr:txBody>
      </xdr:sp>
      <xdr:sp macro="" textlink="">
        <xdr:nvSpPr>
          <xdr:cNvPr id="25" name="Line Callout 2 24"/>
          <xdr:cNvSpPr/>
        </xdr:nvSpPr>
        <xdr:spPr>
          <a:xfrm>
            <a:off x="14878050" y="4686300"/>
            <a:ext cx="1885950" cy="466726"/>
          </a:xfrm>
          <a:prstGeom prst="borderCallout2">
            <a:avLst>
              <a:gd name="adj1" fmla="val 18750"/>
              <a:gd name="adj2" fmla="val -8333"/>
              <a:gd name="adj3" fmla="val 18750"/>
              <a:gd name="adj4" fmla="val -16667"/>
              <a:gd name="adj5" fmla="val -37013"/>
              <a:gd name="adj6" fmla="val -103890"/>
            </a:avLst>
          </a:prstGeom>
          <a:ln w="19050"/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our problem is an LP, so we select "Simplex</a:t>
            </a:r>
            <a:r>
              <a:rPr lang="en-US" sz="1100" baseline="0"/>
              <a:t> LP"</a:t>
            </a:r>
            <a:endParaRPr lang="en-US" sz="1100"/>
          </a:p>
        </xdr:txBody>
      </xdr:sp>
      <xdr:sp macro="" textlink="">
        <xdr:nvSpPr>
          <xdr:cNvPr id="28" name="Line Callout 2 27"/>
          <xdr:cNvSpPr/>
        </xdr:nvSpPr>
        <xdr:spPr>
          <a:xfrm>
            <a:off x="14878050" y="5448300"/>
            <a:ext cx="1885950" cy="257175"/>
          </a:xfrm>
          <a:prstGeom prst="borderCallout2">
            <a:avLst>
              <a:gd name="adj1" fmla="val 18750"/>
              <a:gd name="adj2" fmla="val -8333"/>
              <a:gd name="adj3" fmla="val 18750"/>
              <a:gd name="adj4" fmla="val -16667"/>
              <a:gd name="adj5" fmla="val 37062"/>
              <a:gd name="adj6" fmla="val -113485"/>
            </a:avLst>
          </a:prstGeom>
          <a:ln w="19050"/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hit "Solve"</a:t>
            </a:r>
            <a:r>
              <a:rPr lang="en-US" sz="1100" baseline="0"/>
              <a:t> to optimize</a:t>
            </a:r>
            <a:endParaRPr lang="en-US" sz="1100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78441</xdr:colOff>
      <xdr:row>26</xdr:row>
      <xdr:rowOff>190499</xdr:rowOff>
    </xdr:from>
    <xdr:to>
      <xdr:col>11</xdr:col>
      <xdr:colOff>683559</xdr:colOff>
      <xdr:row>37</xdr:row>
      <xdr:rowOff>44823</xdr:rowOff>
    </xdr:to>
    <xdr:sp macro="" textlink="">
      <xdr:nvSpPr>
        <xdr:cNvPr id="4" name="Curved Up Arrow 3"/>
        <xdr:cNvSpPr/>
      </xdr:nvSpPr>
      <xdr:spPr>
        <a:xfrm rot="16200000">
          <a:off x="7816103" y="5899896"/>
          <a:ext cx="1949824" cy="818030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89647</xdr:colOff>
      <xdr:row>45</xdr:row>
      <xdr:rowOff>22412</xdr:rowOff>
    </xdr:from>
    <xdr:to>
      <xdr:col>11</xdr:col>
      <xdr:colOff>694765</xdr:colOff>
      <xdr:row>51</xdr:row>
      <xdr:rowOff>156882</xdr:rowOff>
    </xdr:to>
    <xdr:sp macro="" textlink="">
      <xdr:nvSpPr>
        <xdr:cNvPr id="5" name="Curved Up Arrow 4"/>
        <xdr:cNvSpPr/>
      </xdr:nvSpPr>
      <xdr:spPr>
        <a:xfrm rot="16200000">
          <a:off x="8163486" y="9015132"/>
          <a:ext cx="1277470" cy="818030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728382</xdr:colOff>
      <xdr:row>30</xdr:row>
      <xdr:rowOff>168089</xdr:rowOff>
    </xdr:from>
    <xdr:to>
      <xdr:col>12</xdr:col>
      <xdr:colOff>874059</xdr:colOff>
      <xdr:row>33</xdr:row>
      <xdr:rowOff>156883</xdr:rowOff>
    </xdr:to>
    <xdr:sp macro="" textlink="">
      <xdr:nvSpPr>
        <xdr:cNvPr id="6" name="TextBox 5"/>
        <xdr:cNvSpPr txBox="1"/>
      </xdr:nvSpPr>
      <xdr:spPr>
        <a:xfrm>
          <a:off x="9244853" y="6073589"/>
          <a:ext cx="1232647" cy="5602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Copy </a:t>
          </a:r>
          <a:r>
            <a:rPr lang="en-US" sz="1400" b="1"/>
            <a:t>values</a:t>
          </a:r>
          <a:r>
            <a:rPr lang="en-US" sz="1400"/>
            <a:t> for</a:t>
          </a:r>
          <a:r>
            <a:rPr lang="en-US" sz="1400" baseline="0"/>
            <a:t> recursion</a:t>
          </a:r>
          <a:endParaRPr lang="en-US" sz="1400"/>
        </a:p>
      </xdr:txBody>
    </xdr:sp>
    <xdr:clientData/>
  </xdr:twoCellAnchor>
  <xdr:twoCellAnchor>
    <xdr:from>
      <xdr:col>11</xdr:col>
      <xdr:colOff>728382</xdr:colOff>
      <xdr:row>47</xdr:row>
      <xdr:rowOff>112059</xdr:rowOff>
    </xdr:from>
    <xdr:to>
      <xdr:col>12</xdr:col>
      <xdr:colOff>851647</xdr:colOff>
      <xdr:row>50</xdr:row>
      <xdr:rowOff>100853</xdr:rowOff>
    </xdr:to>
    <xdr:sp macro="" textlink="">
      <xdr:nvSpPr>
        <xdr:cNvPr id="7" name="TextBox 6"/>
        <xdr:cNvSpPr txBox="1"/>
      </xdr:nvSpPr>
      <xdr:spPr>
        <a:xfrm>
          <a:off x="9244853" y="9256059"/>
          <a:ext cx="1210235" cy="5602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Copy </a:t>
          </a:r>
          <a:r>
            <a:rPr lang="en-US" sz="1400" b="1"/>
            <a:t>values</a:t>
          </a:r>
          <a:r>
            <a:rPr lang="en-US" sz="1400"/>
            <a:t> for</a:t>
          </a:r>
          <a:r>
            <a:rPr lang="en-US" sz="1400" baseline="0"/>
            <a:t> recursion</a:t>
          </a:r>
          <a:endParaRPr lang="en-US" sz="1400"/>
        </a:p>
      </xdr:txBody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26</xdr:col>
      <xdr:colOff>591942</xdr:colOff>
      <xdr:row>32</xdr:row>
      <xdr:rowOff>47488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08088" y="717176"/>
          <a:ext cx="5432883" cy="56616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3</xdr:row>
      <xdr:rowOff>0</xdr:rowOff>
    </xdr:from>
    <xdr:to>
      <xdr:col>20</xdr:col>
      <xdr:colOff>556083</xdr:colOff>
      <xdr:row>32</xdr:row>
      <xdr:rowOff>137136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67925" y="495300"/>
          <a:ext cx="5432883" cy="56616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3</xdr:row>
      <xdr:rowOff>0</xdr:rowOff>
    </xdr:from>
    <xdr:to>
      <xdr:col>25</xdr:col>
      <xdr:colOff>556083</xdr:colOff>
      <xdr:row>32</xdr:row>
      <xdr:rowOff>60936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39800" y="495300"/>
          <a:ext cx="5432883" cy="56616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4</xdr:row>
      <xdr:rowOff>0</xdr:rowOff>
    </xdr:from>
    <xdr:to>
      <xdr:col>25</xdr:col>
      <xdr:colOff>556083</xdr:colOff>
      <xdr:row>33</xdr:row>
      <xdr:rowOff>22836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63675" y="723900"/>
          <a:ext cx="5432883" cy="56616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4</xdr:row>
      <xdr:rowOff>0</xdr:rowOff>
    </xdr:from>
    <xdr:to>
      <xdr:col>30</xdr:col>
      <xdr:colOff>591942</xdr:colOff>
      <xdr:row>33</xdr:row>
      <xdr:rowOff>69900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543059" y="717176"/>
          <a:ext cx="5432883" cy="56616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4</xdr:row>
      <xdr:rowOff>0</xdr:rowOff>
    </xdr:from>
    <xdr:to>
      <xdr:col>25</xdr:col>
      <xdr:colOff>556083</xdr:colOff>
      <xdr:row>33</xdr:row>
      <xdr:rowOff>22836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63675" y="723900"/>
          <a:ext cx="5432883" cy="566163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4</xdr:row>
      <xdr:rowOff>0</xdr:rowOff>
    </xdr:from>
    <xdr:to>
      <xdr:col>31</xdr:col>
      <xdr:colOff>591942</xdr:colOff>
      <xdr:row>33</xdr:row>
      <xdr:rowOff>103518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60353" y="717176"/>
          <a:ext cx="5432883" cy="566163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4</xdr:row>
      <xdr:rowOff>0</xdr:rowOff>
    </xdr:from>
    <xdr:to>
      <xdr:col>31</xdr:col>
      <xdr:colOff>591942</xdr:colOff>
      <xdr:row>33</xdr:row>
      <xdr:rowOff>103518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60353" y="717176"/>
          <a:ext cx="5432883" cy="566163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</xdr:row>
      <xdr:rowOff>0</xdr:rowOff>
    </xdr:from>
    <xdr:to>
      <xdr:col>31</xdr:col>
      <xdr:colOff>57150</xdr:colOff>
      <xdr:row>32</xdr:row>
      <xdr:rowOff>60936</xdr:rowOff>
    </xdr:to>
    <xdr:grpSp>
      <xdr:nvGrpSpPr>
        <xdr:cNvPr id="8" name="Group 7"/>
        <xdr:cNvGrpSpPr/>
      </xdr:nvGrpSpPr>
      <xdr:grpSpPr>
        <a:xfrm>
          <a:off x="14801850" y="495300"/>
          <a:ext cx="7981950" cy="5661636"/>
          <a:chOff x="14801850" y="495300"/>
          <a:chExt cx="7981950" cy="5661636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4801850" y="495300"/>
            <a:ext cx="5432883" cy="5661636"/>
          </a:xfrm>
          <a:prstGeom prst="rect">
            <a:avLst/>
          </a:prstGeom>
        </xdr:spPr>
      </xdr:pic>
      <xdr:sp macro="" textlink="">
        <xdr:nvSpPr>
          <xdr:cNvPr id="4" name="Rounded Rectangle 3"/>
          <xdr:cNvSpPr/>
        </xdr:nvSpPr>
        <xdr:spPr>
          <a:xfrm>
            <a:off x="15049500" y="4257675"/>
            <a:ext cx="3819525" cy="371475"/>
          </a:xfrm>
          <a:prstGeom prst="roundRect">
            <a:avLst/>
          </a:prstGeom>
          <a:noFill/>
          <a:ln w="28575" cap="flat" cmpd="sng" algn="ctr">
            <a:solidFill>
              <a:schemeClr val="accent2"/>
            </a:solidFill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accent2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7" name="Line Callout 2 6"/>
          <xdr:cNvSpPr/>
        </xdr:nvSpPr>
        <xdr:spPr>
          <a:xfrm>
            <a:off x="20897850" y="4762500"/>
            <a:ext cx="1885950" cy="638175"/>
          </a:xfrm>
          <a:prstGeom prst="borderCallout2">
            <a:avLst>
              <a:gd name="adj1" fmla="val 18750"/>
              <a:gd name="adj2" fmla="val -8333"/>
              <a:gd name="adj3" fmla="val 18750"/>
              <a:gd name="adj4" fmla="val -16667"/>
              <a:gd name="adj5" fmla="val -20595"/>
              <a:gd name="adj6" fmla="val -107425"/>
            </a:avLst>
          </a:prstGeom>
          <a:ln w="19050"/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this is now a quadratic problem,</a:t>
            </a:r>
            <a:r>
              <a:rPr lang="en-US" sz="1100" baseline="0"/>
              <a:t> so you have to select the nonlinear solver</a:t>
            </a:r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showGridLines="0" workbookViewId="0">
      <selection activeCell="C39" sqref="C39:C41"/>
    </sheetView>
  </sheetViews>
  <sheetFormatPr defaultRowHeight="15" x14ac:dyDescent="0.25"/>
  <cols>
    <col min="1" max="1" width="1.7109375" customWidth="1"/>
    <col min="2" max="2" width="19.7109375" bestFit="1" customWidth="1"/>
    <col min="3" max="7" width="12.7109375" customWidth="1"/>
    <col min="11" max="11" width="10.140625" bestFit="1" customWidth="1"/>
  </cols>
  <sheetData>
    <row r="1" spans="2:13" ht="9" customHeight="1" x14ac:dyDescent="0.25"/>
    <row r="2" spans="2:13" x14ac:dyDescent="0.25">
      <c r="B2" s="13" t="s">
        <v>28</v>
      </c>
      <c r="M2" s="13" t="s">
        <v>31</v>
      </c>
    </row>
    <row r="3" spans="2:13" x14ac:dyDescent="0.25">
      <c r="C3" s="15"/>
      <c r="D3" s="16"/>
      <c r="E3" s="17" t="s">
        <v>0</v>
      </c>
      <c r="F3" s="16"/>
      <c r="G3" s="18"/>
      <c r="H3" s="29" t="s">
        <v>1</v>
      </c>
      <c r="I3" s="31" t="s">
        <v>19</v>
      </c>
      <c r="J3" s="16"/>
      <c r="K3" s="41" t="s">
        <v>25</v>
      </c>
    </row>
    <row r="4" spans="2:13" x14ac:dyDescent="0.25">
      <c r="C4" s="9" t="s">
        <v>2</v>
      </c>
      <c r="D4" s="10" t="s">
        <v>3</v>
      </c>
      <c r="E4" s="10" t="s">
        <v>4</v>
      </c>
      <c r="F4" s="10" t="s">
        <v>5</v>
      </c>
      <c r="G4" s="11" t="s">
        <v>6</v>
      </c>
      <c r="H4" s="12"/>
      <c r="I4" s="19" t="s">
        <v>7</v>
      </c>
      <c r="J4" s="40" t="s">
        <v>8</v>
      </c>
      <c r="K4" s="42" t="s">
        <v>24</v>
      </c>
    </row>
    <row r="6" spans="2:13" x14ac:dyDescent="0.25">
      <c r="B6" s="13" t="s">
        <v>20</v>
      </c>
    </row>
    <row r="7" spans="2:13" x14ac:dyDescent="0.25">
      <c r="B7" s="14" t="s">
        <v>18</v>
      </c>
      <c r="C7" s="45">
        <v>0.5</v>
      </c>
      <c r="D7" s="45">
        <v>0.15</v>
      </c>
      <c r="E7" s="45">
        <v>0.05</v>
      </c>
      <c r="F7" s="45">
        <v>0.2</v>
      </c>
      <c r="G7" s="45">
        <v>0.1</v>
      </c>
      <c r="H7" s="27" t="s">
        <v>26</v>
      </c>
    </row>
    <row r="8" spans="2:13" x14ac:dyDescent="0.25">
      <c r="B8" s="44" t="s">
        <v>27</v>
      </c>
      <c r="C8" s="43">
        <v>0.5</v>
      </c>
      <c r="D8" s="43">
        <v>0.15</v>
      </c>
      <c r="E8" s="43">
        <v>0.05</v>
      </c>
      <c r="F8" s="43">
        <v>0.2</v>
      </c>
      <c r="G8" s="43">
        <v>0.1</v>
      </c>
      <c r="H8" s="27" t="s">
        <v>157</v>
      </c>
    </row>
    <row r="10" spans="2:13" x14ac:dyDescent="0.25">
      <c r="B10" s="13" t="s">
        <v>32</v>
      </c>
    </row>
    <row r="11" spans="2:13" x14ac:dyDescent="0.25">
      <c r="B11" s="14" t="s">
        <v>17</v>
      </c>
      <c r="C11" s="47">
        <v>420</v>
      </c>
      <c r="D11" s="47">
        <v>435</v>
      </c>
      <c r="E11" s="47">
        <v>440</v>
      </c>
      <c r="F11" s="47">
        <v>423</v>
      </c>
      <c r="G11" s="47">
        <v>350</v>
      </c>
      <c r="H11" s="46">
        <f>SUMPRODUCT(C$7:G$7,C11:G11)</f>
        <v>416.85</v>
      </c>
      <c r="I11" s="27"/>
    </row>
    <row r="13" spans="2:13" x14ac:dyDescent="0.25">
      <c r="B13" s="13" t="s">
        <v>29</v>
      </c>
    </row>
    <row r="14" spans="2:13" x14ac:dyDescent="0.25">
      <c r="B14" s="14" t="s">
        <v>22</v>
      </c>
      <c r="C14" s="20">
        <v>1</v>
      </c>
      <c r="D14" s="20">
        <v>1</v>
      </c>
      <c r="E14" s="20">
        <v>1</v>
      </c>
      <c r="F14" s="20">
        <v>1</v>
      </c>
      <c r="G14" s="20">
        <v>1</v>
      </c>
      <c r="H14" s="30">
        <f>SUMPRODUCT(C$7:G$7,C14:G14)</f>
        <v>1.0000000000000002</v>
      </c>
      <c r="K14" s="28" t="b">
        <f>H14=100%</f>
        <v>1</v>
      </c>
    </row>
    <row r="16" spans="2:13" x14ac:dyDescent="0.25">
      <c r="B16" s="13" t="s">
        <v>33</v>
      </c>
    </row>
    <row r="17" spans="2:11" x14ac:dyDescent="0.25">
      <c r="B17" s="21" t="s">
        <v>9</v>
      </c>
      <c r="C17" s="1">
        <v>0.79</v>
      </c>
      <c r="D17" s="2">
        <v>0.68</v>
      </c>
      <c r="E17" s="2">
        <v>0.7</v>
      </c>
      <c r="F17" s="2">
        <v>0.68</v>
      </c>
      <c r="G17" s="2">
        <v>0.79400000000000004</v>
      </c>
      <c r="H17" s="70">
        <f t="shared" ref="H17:H25" si="0">SUMPRODUCT(C$7:G$7,C17:G17)</f>
        <v>0.74740000000000006</v>
      </c>
      <c r="I17" s="32">
        <v>0.72</v>
      </c>
      <c r="J17" s="33">
        <v>0.77500000000000002</v>
      </c>
      <c r="K17" s="22" t="b">
        <f t="shared" ref="K17:K25" si="1">AND(H17&gt;=I17,H17&lt;=J17)</f>
        <v>1</v>
      </c>
    </row>
    <row r="18" spans="2:11" x14ac:dyDescent="0.25">
      <c r="B18" s="6" t="s">
        <v>73</v>
      </c>
      <c r="C18" s="4">
        <v>96</v>
      </c>
      <c r="D18" s="5">
        <v>88</v>
      </c>
      <c r="E18" s="5">
        <v>101</v>
      </c>
      <c r="F18" s="5">
        <v>93</v>
      </c>
      <c r="G18" s="5">
        <v>112</v>
      </c>
      <c r="H18" s="71">
        <f t="shared" si="0"/>
        <v>96.05</v>
      </c>
      <c r="I18" s="34">
        <v>95</v>
      </c>
      <c r="J18" s="35">
        <v>999</v>
      </c>
      <c r="K18" s="23" t="b">
        <f t="shared" si="1"/>
        <v>1</v>
      </c>
    </row>
    <row r="19" spans="2:11" x14ac:dyDescent="0.25">
      <c r="B19" s="6" t="s">
        <v>10</v>
      </c>
      <c r="C19" s="6">
        <v>30</v>
      </c>
      <c r="D19" s="3">
        <v>70</v>
      </c>
      <c r="E19" s="3">
        <v>40</v>
      </c>
      <c r="F19" s="3">
        <v>70</v>
      </c>
      <c r="G19" s="25">
        <v>150</v>
      </c>
      <c r="H19" s="71">
        <f t="shared" si="0"/>
        <v>56.5</v>
      </c>
      <c r="I19" s="36">
        <v>45</v>
      </c>
      <c r="J19" s="37">
        <v>60</v>
      </c>
      <c r="K19" s="23" t="b">
        <f>AND(H19&gt;=I19,H19&lt;=J19)</f>
        <v>1</v>
      </c>
    </row>
    <row r="20" spans="2:11" x14ac:dyDescent="0.25">
      <c r="B20" s="6" t="s">
        <v>11</v>
      </c>
      <c r="C20" s="6">
        <v>58</v>
      </c>
      <c r="D20" s="3">
        <v>1.5</v>
      </c>
      <c r="E20" s="3">
        <v>0.1</v>
      </c>
      <c r="F20" s="3">
        <v>1</v>
      </c>
      <c r="G20" s="3">
        <v>0</v>
      </c>
      <c r="H20" s="71">
        <f t="shared" si="0"/>
        <v>29.43</v>
      </c>
      <c r="I20" s="36">
        <v>0</v>
      </c>
      <c r="J20" s="37">
        <v>35</v>
      </c>
      <c r="K20" s="23" t="b">
        <f t="shared" si="1"/>
        <v>1</v>
      </c>
    </row>
    <row r="21" spans="2:11" x14ac:dyDescent="0.25">
      <c r="B21" s="6" t="s">
        <v>12</v>
      </c>
      <c r="C21" s="6">
        <v>1.5</v>
      </c>
      <c r="D21" s="3">
        <v>0.1</v>
      </c>
      <c r="E21" s="3">
        <v>0.1</v>
      </c>
      <c r="F21" s="3">
        <v>0.5</v>
      </c>
      <c r="G21" s="3">
        <v>0</v>
      </c>
      <c r="H21" s="72">
        <f t="shared" si="0"/>
        <v>0.87</v>
      </c>
      <c r="I21" s="36">
        <v>0</v>
      </c>
      <c r="J21" s="37">
        <v>1</v>
      </c>
      <c r="K21" s="23" t="b">
        <f t="shared" si="1"/>
        <v>1</v>
      </c>
    </row>
    <row r="22" spans="2:11" x14ac:dyDescent="0.25">
      <c r="B22" s="6" t="s">
        <v>13</v>
      </c>
      <c r="C22" s="6">
        <v>0</v>
      </c>
      <c r="D22" s="3">
        <v>0</v>
      </c>
      <c r="E22" s="3">
        <v>0</v>
      </c>
      <c r="F22" s="3">
        <v>0</v>
      </c>
      <c r="G22" s="3">
        <v>100</v>
      </c>
      <c r="H22" s="71">
        <f t="shared" si="0"/>
        <v>10</v>
      </c>
      <c r="I22" s="36">
        <v>0</v>
      </c>
      <c r="J22" s="37">
        <v>10</v>
      </c>
      <c r="K22" s="23" t="b">
        <f>AND(H22&gt;=I22,H22&lt;=J22)</f>
        <v>1</v>
      </c>
    </row>
    <row r="23" spans="2:11" x14ac:dyDescent="0.25">
      <c r="B23" s="6" t="s">
        <v>14</v>
      </c>
      <c r="C23" s="6">
        <v>4</v>
      </c>
      <c r="D23" s="3">
        <v>80</v>
      </c>
      <c r="E23" s="3">
        <v>8</v>
      </c>
      <c r="F23" s="3">
        <v>70</v>
      </c>
      <c r="G23" s="25">
        <v>180</v>
      </c>
      <c r="H23" s="71">
        <f t="shared" si="0"/>
        <v>46.4</v>
      </c>
      <c r="I23" s="36">
        <v>20</v>
      </c>
      <c r="J23" s="37">
        <v>48</v>
      </c>
      <c r="K23" s="23" t="b">
        <f t="shared" si="1"/>
        <v>1</v>
      </c>
    </row>
    <row r="24" spans="2:11" x14ac:dyDescent="0.25">
      <c r="B24" s="6" t="s">
        <v>15</v>
      </c>
      <c r="C24" s="6">
        <v>25</v>
      </c>
      <c r="D24" s="3">
        <v>95</v>
      </c>
      <c r="E24" s="3">
        <v>30</v>
      </c>
      <c r="F24" s="3">
        <v>90</v>
      </c>
      <c r="G24" s="25">
        <v>110</v>
      </c>
      <c r="H24" s="71">
        <f t="shared" si="0"/>
        <v>57.25</v>
      </c>
      <c r="I24" s="36">
        <v>46</v>
      </c>
      <c r="J24" s="37">
        <v>71</v>
      </c>
      <c r="K24" s="23" t="b">
        <f t="shared" si="1"/>
        <v>1</v>
      </c>
    </row>
    <row r="25" spans="2:11" x14ac:dyDescent="0.25">
      <c r="B25" s="8" t="s">
        <v>16</v>
      </c>
      <c r="C25" s="8">
        <v>95</v>
      </c>
      <c r="D25" s="7">
        <v>99</v>
      </c>
      <c r="E25" s="7">
        <v>94</v>
      </c>
      <c r="F25" s="7">
        <v>100</v>
      </c>
      <c r="G25" s="7">
        <v>100</v>
      </c>
      <c r="H25" s="73">
        <f t="shared" si="0"/>
        <v>97.05</v>
      </c>
      <c r="I25" s="38">
        <v>75</v>
      </c>
      <c r="J25" s="39">
        <v>100</v>
      </c>
      <c r="K25" s="24" t="b">
        <f t="shared" si="1"/>
        <v>1</v>
      </c>
    </row>
    <row r="26" spans="2:11" x14ac:dyDescent="0.25">
      <c r="G26" s="26" t="s">
        <v>23</v>
      </c>
    </row>
  </sheetData>
  <conditionalFormatting sqref="K17:K25">
    <cfRule type="cellIs" dxfId="61" priority="4" operator="equal">
      <formula>FALSE</formula>
    </cfRule>
  </conditionalFormatting>
  <conditionalFormatting sqref="K3:K4">
    <cfRule type="cellIs" dxfId="60" priority="1" operator="equal">
      <formula>FALSE</formula>
    </cfRule>
  </conditionalFormatting>
  <conditionalFormatting sqref="K14">
    <cfRule type="cellIs" dxfId="59" priority="2" operator="equal">
      <formula>FALSE</formula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72"/>
  <sheetViews>
    <sheetView showGridLines="0" topLeftCell="C1" zoomScale="85" zoomScaleNormal="85" workbookViewId="0">
      <selection activeCell="L15" sqref="L15"/>
    </sheetView>
  </sheetViews>
  <sheetFormatPr defaultRowHeight="15" x14ac:dyDescent="0.25"/>
  <cols>
    <col min="1" max="1" width="1.7109375" customWidth="1"/>
    <col min="2" max="2" width="3.7109375" bestFit="1" customWidth="1"/>
    <col min="3" max="3" width="23.42578125" bestFit="1" customWidth="1"/>
    <col min="4" max="4" width="15.7109375" bestFit="1" customWidth="1"/>
    <col min="5" max="5" width="16.140625" bestFit="1" customWidth="1"/>
    <col min="6" max="10" width="12.7109375" customWidth="1"/>
    <col min="11" max="11" width="3.140625" customWidth="1"/>
    <col min="12" max="12" width="16.28515625" customWidth="1"/>
    <col min="13" max="13" width="14.85546875" bestFit="1" customWidth="1"/>
    <col min="14" max="14" width="14.85546875" customWidth="1"/>
    <col min="15" max="15" width="14.42578125" bestFit="1" customWidth="1"/>
    <col min="16" max="16" width="16.7109375" bestFit="1" customWidth="1"/>
    <col min="17" max="17" width="16.85546875" bestFit="1" customWidth="1"/>
    <col min="18" max="18" width="9.5703125" bestFit="1" customWidth="1"/>
  </cols>
  <sheetData>
    <row r="1" spans="2:23" ht="9" customHeight="1" x14ac:dyDescent="0.25"/>
    <row r="2" spans="2:23" x14ac:dyDescent="0.25">
      <c r="B2" s="214" t="s">
        <v>83</v>
      </c>
      <c r="C2" s="215"/>
      <c r="D2" s="15"/>
      <c r="E2" s="16"/>
      <c r="F2" s="17" t="s">
        <v>0</v>
      </c>
      <c r="G2" s="16"/>
      <c r="H2" s="18"/>
      <c r="I2" s="235" t="s">
        <v>139</v>
      </c>
      <c r="J2" s="236"/>
      <c r="S2" s="13" t="s">
        <v>30</v>
      </c>
    </row>
    <row r="3" spans="2:23" x14ac:dyDescent="0.25">
      <c r="B3" s="216"/>
      <c r="C3" s="217"/>
      <c r="D3" s="9" t="s">
        <v>78</v>
      </c>
      <c r="E3" s="10" t="s">
        <v>79</v>
      </c>
      <c r="F3" s="10" t="s">
        <v>80</v>
      </c>
      <c r="G3" s="10" t="s">
        <v>81</v>
      </c>
      <c r="H3" s="11" t="s">
        <v>106</v>
      </c>
      <c r="I3" s="9" t="s">
        <v>137</v>
      </c>
      <c r="J3" s="11" t="s">
        <v>138</v>
      </c>
      <c r="S3" t="s">
        <v>71</v>
      </c>
      <c r="V3" s="105">
        <v>9.9999999999999995E-7</v>
      </c>
      <c r="W3" t="s">
        <v>72</v>
      </c>
    </row>
    <row r="4" spans="2:23" ht="18" customHeight="1" x14ac:dyDescent="0.25">
      <c r="B4" s="212" t="s">
        <v>136</v>
      </c>
      <c r="C4" s="119" t="s">
        <v>137</v>
      </c>
      <c r="D4" s="74"/>
      <c r="E4" s="74"/>
      <c r="F4" s="74"/>
      <c r="G4" s="74"/>
      <c r="H4" s="74"/>
      <c r="I4" s="158"/>
      <c r="J4" s="158"/>
      <c r="L4" s="67" t="s">
        <v>48</v>
      </c>
      <c r="P4" s="13" t="s">
        <v>53</v>
      </c>
    </row>
    <row r="5" spans="2:23" ht="18" customHeight="1" x14ac:dyDescent="0.25">
      <c r="B5" s="213"/>
      <c r="C5" s="119" t="s">
        <v>138</v>
      </c>
      <c r="D5" s="74"/>
      <c r="E5" s="74"/>
      <c r="F5" s="74"/>
      <c r="G5" s="74"/>
      <c r="H5" s="74"/>
      <c r="I5" s="158"/>
      <c r="J5" s="158"/>
      <c r="L5" s="63" t="s">
        <v>70</v>
      </c>
      <c r="M5" s="63" t="s">
        <v>84</v>
      </c>
      <c r="N5" s="63" t="s">
        <v>43</v>
      </c>
      <c r="P5" s="63" t="s">
        <v>85</v>
      </c>
      <c r="Q5" s="63" t="s">
        <v>52</v>
      </c>
    </row>
    <row r="6" spans="2:23" ht="18" customHeight="1" x14ac:dyDescent="0.25">
      <c r="B6" s="212" t="s">
        <v>44</v>
      </c>
      <c r="C6" s="65" t="s">
        <v>75</v>
      </c>
      <c r="D6" s="157"/>
      <c r="E6" s="158"/>
      <c r="F6" s="158"/>
      <c r="G6" s="158"/>
      <c r="H6" s="158"/>
      <c r="I6" s="74"/>
      <c r="J6" s="75"/>
      <c r="L6" s="69">
        <f>SUM(I6:J6)</f>
        <v>0</v>
      </c>
      <c r="M6" s="51">
        <v>2000</v>
      </c>
      <c r="N6" s="22" t="b">
        <f t="shared" ref="N6:N8" si="0">L6&lt;=M6*(1+$V$3)</f>
        <v>1</v>
      </c>
      <c r="P6" s="51">
        <v>240</v>
      </c>
      <c r="Q6" s="69">
        <f>P6*L6</f>
        <v>0</v>
      </c>
    </row>
    <row r="7" spans="2:23" ht="18" customHeight="1" x14ac:dyDescent="0.25">
      <c r="B7" s="218"/>
      <c r="C7" s="119" t="s">
        <v>76</v>
      </c>
      <c r="D7" s="157"/>
      <c r="E7" s="158"/>
      <c r="F7" s="158"/>
      <c r="G7" s="158"/>
      <c r="H7" s="158"/>
      <c r="I7" s="74"/>
      <c r="J7" s="75"/>
      <c r="L7" s="69">
        <f t="shared" ref="L7:L8" si="1">SUM(I7:J7)</f>
        <v>0</v>
      </c>
      <c r="M7" s="51">
        <v>1000</v>
      </c>
      <c r="N7" s="22" t="b">
        <f t="shared" si="0"/>
        <v>1</v>
      </c>
      <c r="P7" s="51">
        <v>220</v>
      </c>
      <c r="Q7" s="69">
        <f>P7*L7</f>
        <v>0</v>
      </c>
    </row>
    <row r="8" spans="2:23" ht="18" customHeight="1" x14ac:dyDescent="0.25">
      <c r="B8" s="213"/>
      <c r="C8" s="66" t="s">
        <v>77</v>
      </c>
      <c r="D8" s="157"/>
      <c r="E8" s="158"/>
      <c r="F8" s="158"/>
      <c r="G8" s="158"/>
      <c r="H8" s="158"/>
      <c r="I8" s="74"/>
      <c r="J8" s="75"/>
      <c r="L8" s="69">
        <f t="shared" si="1"/>
        <v>0</v>
      </c>
      <c r="M8" s="51">
        <v>4000</v>
      </c>
      <c r="N8" s="28" t="b">
        <f t="shared" si="0"/>
        <v>1</v>
      </c>
      <c r="P8" s="51">
        <v>160</v>
      </c>
      <c r="Q8" s="69">
        <f>P8*L8</f>
        <v>0</v>
      </c>
    </row>
    <row r="9" spans="2:23" ht="18" customHeight="1" x14ac:dyDescent="0.25">
      <c r="H9" s="63" t="s">
        <v>141</v>
      </c>
      <c r="I9" s="69">
        <f>SUM(D4:H4)</f>
        <v>0</v>
      </c>
      <c r="J9" s="69">
        <f>SUM(D5:H5)</f>
        <v>0</v>
      </c>
    </row>
    <row r="10" spans="2:23" ht="18" customHeight="1" x14ac:dyDescent="0.25">
      <c r="H10" s="63" t="s">
        <v>140</v>
      </c>
      <c r="I10" s="69">
        <f>SUM(I6:I8)</f>
        <v>0</v>
      </c>
      <c r="J10" s="69">
        <f>SUM(J6:J8)</f>
        <v>0</v>
      </c>
    </row>
    <row r="11" spans="2:23" ht="18" customHeight="1" x14ac:dyDescent="0.25">
      <c r="I11" s="28" t="b">
        <f>ABS(I9-I10)&lt;$V$3</f>
        <v>1</v>
      </c>
      <c r="J11" s="28" t="b">
        <f>ABS(J9-J10)&lt;$V$3</f>
        <v>1</v>
      </c>
    </row>
    <row r="13" spans="2:23" x14ac:dyDescent="0.25">
      <c r="C13" s="67" t="s">
        <v>49</v>
      </c>
    </row>
    <row r="14" spans="2:23" ht="15" customHeight="1" x14ac:dyDescent="0.25">
      <c r="C14" s="61" t="s">
        <v>65</v>
      </c>
      <c r="D14" s="69">
        <f t="shared" ref="D14:H14" si="2">SUM(D4:D5)</f>
        <v>0</v>
      </c>
      <c r="E14" s="69">
        <f t="shared" si="2"/>
        <v>0</v>
      </c>
      <c r="F14" s="69">
        <f t="shared" si="2"/>
        <v>0</v>
      </c>
      <c r="G14" s="69">
        <f t="shared" si="2"/>
        <v>0</v>
      </c>
      <c r="H14" s="69">
        <f t="shared" si="2"/>
        <v>0</v>
      </c>
    </row>
    <row r="15" spans="2:23" ht="15" customHeight="1" x14ac:dyDescent="0.25">
      <c r="C15" s="61" t="s">
        <v>82</v>
      </c>
      <c r="D15" s="51">
        <v>2000</v>
      </c>
      <c r="E15" s="51">
        <v>2000</v>
      </c>
      <c r="F15" s="51">
        <v>1000</v>
      </c>
      <c r="G15" s="51">
        <v>1000</v>
      </c>
      <c r="H15" s="51">
        <v>200</v>
      </c>
    </row>
    <row r="16" spans="2:23" ht="15" customHeight="1" x14ac:dyDescent="0.25">
      <c r="C16" s="61" t="s">
        <v>43</v>
      </c>
      <c r="D16" s="28" t="b">
        <f>D14&lt;=D15*(1+$V$3)</f>
        <v>1</v>
      </c>
      <c r="E16" s="28" t="b">
        <f>E14&lt;=E15*(1+$V$3)</f>
        <v>1</v>
      </c>
      <c r="F16" s="28" t="b">
        <f>F14&lt;=F15*(1+$V$3)</f>
        <v>1</v>
      </c>
      <c r="G16" s="28" t="b">
        <f>G14&lt;=G15*(1+$V$3)</f>
        <v>1</v>
      </c>
      <c r="H16" s="28" t="b">
        <f>H14&lt;=H15*(1+$V$3)</f>
        <v>1</v>
      </c>
    </row>
    <row r="17" spans="3:17" ht="15" customHeight="1" x14ac:dyDescent="0.25"/>
    <row r="18" spans="3:17" ht="15" customHeight="1" x14ac:dyDescent="0.25">
      <c r="C18" s="13" t="s">
        <v>54</v>
      </c>
    </row>
    <row r="19" spans="3:17" ht="15" customHeight="1" x14ac:dyDescent="0.25">
      <c r="C19" s="14" t="s">
        <v>57</v>
      </c>
      <c r="D19" s="51">
        <v>160</v>
      </c>
      <c r="E19" s="51">
        <v>140</v>
      </c>
      <c r="F19" s="51">
        <v>260</v>
      </c>
      <c r="G19" s="51">
        <v>190</v>
      </c>
      <c r="H19" s="51">
        <v>260</v>
      </c>
      <c r="P19" s="13" t="s">
        <v>101</v>
      </c>
    </row>
    <row r="20" spans="3:17" x14ac:dyDescent="0.25">
      <c r="C20" s="14" t="s">
        <v>58</v>
      </c>
      <c r="D20" s="69">
        <f t="shared" ref="D20:H20" si="3">D19*D14</f>
        <v>0</v>
      </c>
      <c r="E20" s="69">
        <f t="shared" si="3"/>
        <v>0</v>
      </c>
      <c r="F20" s="69">
        <f t="shared" si="3"/>
        <v>0</v>
      </c>
      <c r="G20" s="69">
        <f t="shared" si="3"/>
        <v>0</v>
      </c>
      <c r="H20" s="69">
        <f t="shared" si="3"/>
        <v>0</v>
      </c>
      <c r="P20" s="62" t="s">
        <v>56</v>
      </c>
      <c r="Q20" s="50">
        <f>SUM(Q6:Q8)-SUM(D20:H20)</f>
        <v>0</v>
      </c>
    </row>
    <row r="23" spans="3:17" x14ac:dyDescent="0.25">
      <c r="C23" s="67" t="s">
        <v>142</v>
      </c>
    </row>
    <row r="24" spans="3:17" x14ac:dyDescent="0.25">
      <c r="I24" s="219" t="s">
        <v>143</v>
      </c>
      <c r="J24" s="220"/>
    </row>
    <row r="25" spans="3:17" x14ac:dyDescent="0.25">
      <c r="C25" s="21" t="s">
        <v>105</v>
      </c>
      <c r="D25" s="120">
        <v>0.6</v>
      </c>
      <c r="E25" s="121">
        <v>3.2</v>
      </c>
      <c r="F25" s="121">
        <v>0.3</v>
      </c>
      <c r="G25" s="121">
        <v>1.8</v>
      </c>
      <c r="H25" s="121">
        <v>0.1</v>
      </c>
      <c r="I25" s="168">
        <f>SUMPRODUCT($D$4:$H$4,D25:H25)</f>
        <v>0</v>
      </c>
      <c r="J25" s="168">
        <f>SUMPRODUCT($D$5:$H$5,D25:H25)</f>
        <v>0</v>
      </c>
    </row>
    <row r="26" spans="3:17" x14ac:dyDescent="0.25">
      <c r="C26" s="8" t="s">
        <v>89</v>
      </c>
      <c r="D26" s="8">
        <v>38.700000000000003</v>
      </c>
      <c r="E26" s="7">
        <v>40</v>
      </c>
      <c r="F26" s="7">
        <v>22.3</v>
      </c>
      <c r="G26" s="7">
        <v>22.6</v>
      </c>
      <c r="H26" s="7">
        <v>19.2</v>
      </c>
      <c r="I26" s="168">
        <f>SUMPRODUCT($D$4:$H$4,D26:H26)</f>
        <v>0</v>
      </c>
      <c r="J26" s="168">
        <f>SUMPRODUCT($D$5:$H$5,D26:H26)</f>
        <v>0</v>
      </c>
    </row>
    <row r="27" spans="3:17" ht="15.75" thickBot="1" x14ac:dyDescent="0.3">
      <c r="I27" s="225" t="s">
        <v>144</v>
      </c>
      <c r="J27" s="226"/>
      <c r="N27" s="221" t="s">
        <v>155</v>
      </c>
      <c r="O27" s="222"/>
    </row>
    <row r="28" spans="3:17" ht="15.75" thickTop="1" x14ac:dyDescent="0.25">
      <c r="G28" s="120"/>
      <c r="H28" s="175" t="s">
        <v>105</v>
      </c>
      <c r="I28" s="192">
        <v>0.6</v>
      </c>
      <c r="J28" s="193">
        <v>3.2</v>
      </c>
      <c r="N28" s="177">
        <v>0.6</v>
      </c>
      <c r="O28" s="178">
        <v>3.2</v>
      </c>
    </row>
    <row r="29" spans="3:17" ht="15.75" thickBot="1" x14ac:dyDescent="0.3">
      <c r="G29" s="8"/>
      <c r="H29" s="176" t="s">
        <v>89</v>
      </c>
      <c r="I29" s="194">
        <v>38.4</v>
      </c>
      <c r="J29" s="195">
        <v>40</v>
      </c>
      <c r="N29" s="179">
        <v>38.4</v>
      </c>
      <c r="O29" s="180">
        <v>40</v>
      </c>
    </row>
    <row r="30" spans="3:17" ht="15.75" thickTop="1" x14ac:dyDescent="0.25">
      <c r="I30" s="227" t="s">
        <v>145</v>
      </c>
      <c r="J30" s="228"/>
    </row>
    <row r="31" spans="3:17" x14ac:dyDescent="0.25">
      <c r="G31" s="120"/>
      <c r="H31" s="159" t="s">
        <v>105</v>
      </c>
      <c r="I31" s="168">
        <f t="shared" ref="I31:J32" si="4">I$9*I28</f>
        <v>0</v>
      </c>
      <c r="J31" s="168">
        <f t="shared" si="4"/>
        <v>0</v>
      </c>
    </row>
    <row r="32" spans="3:17" x14ac:dyDescent="0.25">
      <c r="G32" s="8"/>
      <c r="H32" s="160" t="s">
        <v>89</v>
      </c>
      <c r="I32" s="168">
        <f t="shared" si="4"/>
        <v>0</v>
      </c>
      <c r="J32" s="168">
        <f t="shared" si="4"/>
        <v>0</v>
      </c>
    </row>
    <row r="33" spans="7:15" x14ac:dyDescent="0.25">
      <c r="I33" s="229" t="s">
        <v>146</v>
      </c>
      <c r="J33" s="230"/>
    </row>
    <row r="34" spans="7:15" x14ac:dyDescent="0.25">
      <c r="G34" s="120"/>
      <c r="H34" s="159" t="s">
        <v>105</v>
      </c>
      <c r="I34" s="168">
        <f t="shared" ref="I34:J35" si="5">I25-I31</f>
        <v>0</v>
      </c>
      <c r="J34" s="168">
        <f t="shared" si="5"/>
        <v>0</v>
      </c>
    </row>
    <row r="35" spans="7:15" x14ac:dyDescent="0.25">
      <c r="G35" s="8"/>
      <c r="H35" s="160" t="s">
        <v>89</v>
      </c>
      <c r="I35" s="168">
        <f t="shared" si="5"/>
        <v>0</v>
      </c>
      <c r="J35" s="168">
        <f t="shared" si="5"/>
        <v>0</v>
      </c>
    </row>
    <row r="36" spans="7:15" ht="15.75" thickBot="1" x14ac:dyDescent="0.3">
      <c r="I36" s="225" t="s">
        <v>151</v>
      </c>
      <c r="J36" s="226"/>
    </row>
    <row r="37" spans="7:15" ht="15.75" thickTop="1" x14ac:dyDescent="0.25">
      <c r="G37" s="120"/>
      <c r="H37" s="175" t="s">
        <v>105</v>
      </c>
      <c r="I37" s="196" t="e">
        <f t="shared" ref="I37:J38" si="6">I25/I$9</f>
        <v>#DIV/0!</v>
      </c>
      <c r="J37" s="197" t="e">
        <f t="shared" si="6"/>
        <v>#DIV/0!</v>
      </c>
    </row>
    <row r="38" spans="7:15" ht="15.75" thickBot="1" x14ac:dyDescent="0.3">
      <c r="G38" s="8"/>
      <c r="H38" s="176" t="s">
        <v>89</v>
      </c>
      <c r="I38" s="198" t="e">
        <f t="shared" si="6"/>
        <v>#DIV/0!</v>
      </c>
      <c r="J38" s="199" t="e">
        <f t="shared" si="6"/>
        <v>#DIV/0!</v>
      </c>
    </row>
    <row r="39" spans="7:15" ht="15.75" thickTop="1" x14ac:dyDescent="0.25">
      <c r="I39" s="223" t="s">
        <v>152</v>
      </c>
      <c r="J39" s="224"/>
      <c r="L39" s="189" t="s">
        <v>156</v>
      </c>
    </row>
    <row r="40" spans="7:15" x14ac:dyDescent="0.25">
      <c r="G40" s="120"/>
      <c r="H40" s="159" t="s">
        <v>105</v>
      </c>
      <c r="I40" s="190" t="e">
        <f t="shared" ref="I40:J41" si="7">ABS(I37-I28)</f>
        <v>#DIV/0!</v>
      </c>
      <c r="J40" s="190" t="e">
        <f t="shared" si="7"/>
        <v>#DIV/0!</v>
      </c>
      <c r="L40" s="47">
        <v>0.1</v>
      </c>
    </row>
    <row r="41" spans="7:15" x14ac:dyDescent="0.25">
      <c r="G41" s="8"/>
      <c r="H41" s="160" t="s">
        <v>89</v>
      </c>
      <c r="I41" s="190" t="e">
        <f t="shared" si="7"/>
        <v>#DIV/0!</v>
      </c>
      <c r="J41" s="190" t="e">
        <f t="shared" si="7"/>
        <v>#DIV/0!</v>
      </c>
      <c r="L41" s="47">
        <v>0.25</v>
      </c>
    </row>
    <row r="44" spans="7:15" x14ac:dyDescent="0.25">
      <c r="G44" s="67" t="s">
        <v>147</v>
      </c>
    </row>
    <row r="45" spans="7:15" ht="15.75" thickBot="1" x14ac:dyDescent="0.3">
      <c r="I45" s="231" t="s">
        <v>148</v>
      </c>
      <c r="J45" s="232"/>
      <c r="N45" s="221" t="s">
        <v>155</v>
      </c>
      <c r="O45" s="222"/>
    </row>
    <row r="46" spans="7:15" ht="15.75" thickTop="1" x14ac:dyDescent="0.25">
      <c r="G46" s="162" t="s">
        <v>75</v>
      </c>
      <c r="H46" s="181"/>
      <c r="I46" s="200">
        <v>2.5000000000000001E-2</v>
      </c>
      <c r="J46" s="201">
        <v>0.6</v>
      </c>
      <c r="N46" s="183">
        <v>2.5000000000000001E-2</v>
      </c>
      <c r="O46" s="184">
        <v>0.6</v>
      </c>
    </row>
    <row r="47" spans="7:15" x14ac:dyDescent="0.25">
      <c r="G47" s="164" t="s">
        <v>76</v>
      </c>
      <c r="H47" s="161"/>
      <c r="I47" s="202">
        <v>0.97499999999999998</v>
      </c>
      <c r="J47" s="203">
        <v>0</v>
      </c>
      <c r="N47" s="185">
        <v>0.97499999999999998</v>
      </c>
      <c r="O47" s="186">
        <v>0</v>
      </c>
    </row>
    <row r="48" spans="7:15" ht="15.75" thickBot="1" x14ac:dyDescent="0.3">
      <c r="G48" s="166" t="s">
        <v>77</v>
      </c>
      <c r="H48" s="182"/>
      <c r="I48" s="204">
        <v>0</v>
      </c>
      <c r="J48" s="205">
        <v>0.4</v>
      </c>
      <c r="N48" s="187">
        <v>0</v>
      </c>
      <c r="O48" s="188">
        <v>0.4</v>
      </c>
    </row>
    <row r="49" spans="7:16" ht="16.5" thickTop="1" thickBot="1" x14ac:dyDescent="0.3">
      <c r="H49" s="26"/>
      <c r="I49" s="233" t="s">
        <v>149</v>
      </c>
      <c r="J49" s="234"/>
    </row>
    <row r="50" spans="7:16" ht="15.75" thickTop="1" x14ac:dyDescent="0.25">
      <c r="G50" s="162" t="s">
        <v>75</v>
      </c>
      <c r="H50" s="181"/>
      <c r="I50" s="206" t="e">
        <f t="shared" ref="I50:J52" si="8">I6/I$9</f>
        <v>#DIV/0!</v>
      </c>
      <c r="J50" s="207" t="e">
        <f t="shared" si="8"/>
        <v>#DIV/0!</v>
      </c>
    </row>
    <row r="51" spans="7:16" x14ac:dyDescent="0.25">
      <c r="G51" s="164" t="s">
        <v>76</v>
      </c>
      <c r="H51" s="161"/>
      <c r="I51" s="208" t="e">
        <f t="shared" si="8"/>
        <v>#DIV/0!</v>
      </c>
      <c r="J51" s="209" t="e">
        <f t="shared" si="8"/>
        <v>#DIV/0!</v>
      </c>
    </row>
    <row r="52" spans="7:16" ht="15.75" thickBot="1" x14ac:dyDescent="0.3">
      <c r="G52" s="166" t="s">
        <v>77</v>
      </c>
      <c r="H52" s="182"/>
      <c r="I52" s="210" t="e">
        <f t="shared" si="8"/>
        <v>#DIV/0!</v>
      </c>
      <c r="J52" s="211" t="e">
        <f t="shared" si="8"/>
        <v>#DIV/0!</v>
      </c>
    </row>
    <row r="53" spans="7:16" ht="15.75" thickTop="1" x14ac:dyDescent="0.25">
      <c r="H53" s="26"/>
      <c r="I53" s="223" t="s">
        <v>150</v>
      </c>
      <c r="J53" s="224"/>
      <c r="L53" s="189" t="s">
        <v>156</v>
      </c>
    </row>
    <row r="54" spans="7:16" x14ac:dyDescent="0.25">
      <c r="G54" s="162" t="s">
        <v>75</v>
      </c>
      <c r="H54" s="163"/>
      <c r="I54" s="191" t="e">
        <f t="shared" ref="I54:J56" si="9">ABS(I50-I46)</f>
        <v>#DIV/0!</v>
      </c>
      <c r="J54" s="191" t="e">
        <f t="shared" si="9"/>
        <v>#DIV/0!</v>
      </c>
      <c r="L54" s="141">
        <v>0.01</v>
      </c>
    </row>
    <row r="55" spans="7:16" x14ac:dyDescent="0.25">
      <c r="G55" s="164" t="s">
        <v>76</v>
      </c>
      <c r="H55" s="165"/>
      <c r="I55" s="191" t="e">
        <f t="shared" si="9"/>
        <v>#DIV/0!</v>
      </c>
      <c r="J55" s="191" t="e">
        <f t="shared" si="9"/>
        <v>#DIV/0!</v>
      </c>
      <c r="L55" s="141">
        <v>0.01</v>
      </c>
    </row>
    <row r="56" spans="7:16" x14ac:dyDescent="0.25">
      <c r="G56" s="166" t="s">
        <v>77</v>
      </c>
      <c r="H56" s="167"/>
      <c r="I56" s="191" t="e">
        <f t="shared" si="9"/>
        <v>#DIV/0!</v>
      </c>
      <c r="J56" s="191" t="e">
        <f t="shared" si="9"/>
        <v>#DIV/0!</v>
      </c>
      <c r="L56" s="141">
        <v>0.01</v>
      </c>
    </row>
    <row r="59" spans="7:16" x14ac:dyDescent="0.25">
      <c r="G59" s="13" t="s">
        <v>87</v>
      </c>
    </row>
    <row r="60" spans="7:16" x14ac:dyDescent="0.25">
      <c r="I60" s="219" t="s">
        <v>143</v>
      </c>
      <c r="J60" s="220"/>
      <c r="K60" s="219" t="s">
        <v>153</v>
      </c>
      <c r="L60" s="220" t="s">
        <v>153</v>
      </c>
      <c r="M60" s="135" t="s">
        <v>8</v>
      </c>
      <c r="N60" s="172" t="s">
        <v>154</v>
      </c>
      <c r="O60" s="68" t="s">
        <v>21</v>
      </c>
      <c r="P60" s="76" t="s">
        <v>61</v>
      </c>
    </row>
    <row r="61" spans="7:16" x14ac:dyDescent="0.25">
      <c r="G61" s="120"/>
      <c r="H61" s="159" t="s">
        <v>105</v>
      </c>
      <c r="I61" s="174">
        <f t="shared" ref="I61:J62" si="10">I28*I$6+I34*I$46</f>
        <v>0</v>
      </c>
      <c r="J61" s="174">
        <f t="shared" si="10"/>
        <v>0</v>
      </c>
      <c r="K61" s="169"/>
      <c r="L61" s="170">
        <f>J61+I61</f>
        <v>0</v>
      </c>
      <c r="M61" s="171">
        <v>0.5</v>
      </c>
      <c r="N61" s="170">
        <f t="shared" ref="N61:N62" si="11">M61*L$6</f>
        <v>0</v>
      </c>
      <c r="O61" s="22" t="b">
        <f>L61&lt;=N61</f>
        <v>1</v>
      </c>
      <c r="P61" s="138" t="e">
        <f>L61/L$6</f>
        <v>#DIV/0!</v>
      </c>
    </row>
    <row r="62" spans="7:16" x14ac:dyDescent="0.25">
      <c r="G62" s="8"/>
      <c r="H62" s="160" t="s">
        <v>89</v>
      </c>
      <c r="I62" s="174">
        <f t="shared" si="10"/>
        <v>0</v>
      </c>
      <c r="J62" s="174">
        <f t="shared" si="10"/>
        <v>0</v>
      </c>
      <c r="K62" s="169"/>
      <c r="L62" s="170">
        <f>J62+I62</f>
        <v>0</v>
      </c>
      <c r="M62" s="171">
        <v>36.9</v>
      </c>
      <c r="N62" s="170">
        <f t="shared" si="11"/>
        <v>0</v>
      </c>
      <c r="O62" s="28" t="b">
        <f>L62&lt;=N62</f>
        <v>1</v>
      </c>
      <c r="P62" s="173" t="e">
        <f>L62/L$6</f>
        <v>#DIV/0!</v>
      </c>
    </row>
    <row r="64" spans="7:16" x14ac:dyDescent="0.25">
      <c r="G64" s="13" t="s">
        <v>88</v>
      </c>
    </row>
    <row r="65" spans="7:16" x14ac:dyDescent="0.25">
      <c r="I65" s="219" t="s">
        <v>143</v>
      </c>
      <c r="J65" s="220"/>
      <c r="K65" s="219" t="s">
        <v>153</v>
      </c>
      <c r="L65" s="220" t="s">
        <v>153</v>
      </c>
      <c r="M65" s="135" t="s">
        <v>8</v>
      </c>
      <c r="N65" s="172" t="s">
        <v>154</v>
      </c>
      <c r="O65" s="68" t="s">
        <v>21</v>
      </c>
      <c r="P65" s="76" t="s">
        <v>61</v>
      </c>
    </row>
    <row r="66" spans="7:16" x14ac:dyDescent="0.25">
      <c r="G66" s="120"/>
      <c r="H66" s="159" t="s">
        <v>105</v>
      </c>
      <c r="I66" s="174">
        <f t="shared" ref="I66:J67" si="12">I28*I$7+I34*I$47</f>
        <v>0</v>
      </c>
      <c r="J66" s="174">
        <f t="shared" si="12"/>
        <v>0</v>
      </c>
      <c r="K66" s="169"/>
      <c r="L66" s="170">
        <f>J66+I66</f>
        <v>0</v>
      </c>
      <c r="M66" s="171">
        <v>1</v>
      </c>
      <c r="N66" s="170">
        <f t="shared" ref="N66:N67" si="13">M66*L$6</f>
        <v>0</v>
      </c>
      <c r="O66" s="22" t="b">
        <f>L66&lt;=N66</f>
        <v>1</v>
      </c>
      <c r="P66" s="138" t="e">
        <f>L66/L$6</f>
        <v>#DIV/0!</v>
      </c>
    </row>
    <row r="67" spans="7:16" x14ac:dyDescent="0.25">
      <c r="G67" s="8"/>
      <c r="H67" s="160" t="s">
        <v>89</v>
      </c>
      <c r="I67" s="174">
        <f t="shared" si="12"/>
        <v>0</v>
      </c>
      <c r="J67" s="174">
        <f t="shared" si="12"/>
        <v>0</v>
      </c>
      <c r="K67" s="169"/>
      <c r="L67" s="170">
        <f>J67+I67</f>
        <v>0</v>
      </c>
      <c r="M67" s="171">
        <v>36.9</v>
      </c>
      <c r="N67" s="170">
        <f t="shared" si="13"/>
        <v>0</v>
      </c>
      <c r="O67" s="28" t="b">
        <f>L67&lt;=N67</f>
        <v>1</v>
      </c>
      <c r="P67" s="173" t="e">
        <f>L67/L$6</f>
        <v>#DIV/0!</v>
      </c>
    </row>
    <row r="69" spans="7:16" x14ac:dyDescent="0.25">
      <c r="G69" s="13" t="s">
        <v>90</v>
      </c>
    </row>
    <row r="70" spans="7:16" x14ac:dyDescent="0.25">
      <c r="I70" s="219" t="s">
        <v>143</v>
      </c>
      <c r="J70" s="220"/>
      <c r="K70" s="219" t="s">
        <v>153</v>
      </c>
      <c r="L70" s="220" t="s">
        <v>153</v>
      </c>
      <c r="M70" s="135" t="s">
        <v>8</v>
      </c>
      <c r="N70" s="172" t="s">
        <v>154</v>
      </c>
      <c r="O70" s="68" t="s">
        <v>21</v>
      </c>
      <c r="P70" s="76" t="s">
        <v>61</v>
      </c>
    </row>
    <row r="71" spans="7:16" x14ac:dyDescent="0.25">
      <c r="G71" s="120"/>
      <c r="H71" s="159" t="s">
        <v>105</v>
      </c>
      <c r="I71" s="174">
        <f t="shared" ref="I71:J72" si="14">I28*I$8+I34*I$48</f>
        <v>0</v>
      </c>
      <c r="J71" s="174">
        <f t="shared" si="14"/>
        <v>0</v>
      </c>
      <c r="K71" s="169"/>
      <c r="L71" s="170">
        <f>J71+I71</f>
        <v>0</v>
      </c>
      <c r="M71" s="171">
        <v>2.5</v>
      </c>
      <c r="N71" s="170">
        <f t="shared" ref="N71:N72" si="15">M71*L$6</f>
        <v>0</v>
      </c>
      <c r="O71" s="22" t="b">
        <f>L71&lt;=N71</f>
        <v>1</v>
      </c>
      <c r="P71" s="138" t="e">
        <f>L71/L$6</f>
        <v>#DIV/0!</v>
      </c>
    </row>
    <row r="72" spans="7:16" x14ac:dyDescent="0.25">
      <c r="G72" s="8"/>
      <c r="H72" s="160" t="s">
        <v>89</v>
      </c>
      <c r="I72" s="174">
        <f t="shared" si="14"/>
        <v>0</v>
      </c>
      <c r="J72" s="174">
        <f t="shared" si="14"/>
        <v>0</v>
      </c>
      <c r="K72" s="169"/>
      <c r="L72" s="170">
        <f>J72+I72</f>
        <v>0</v>
      </c>
      <c r="M72" s="171">
        <v>38.299999999999997</v>
      </c>
      <c r="N72" s="170">
        <f t="shared" si="15"/>
        <v>0</v>
      </c>
      <c r="O72" s="28" t="b">
        <f>L72&lt;=N72</f>
        <v>1</v>
      </c>
      <c r="P72" s="173" t="e">
        <f>L72/L$6</f>
        <v>#DIV/0!</v>
      </c>
    </row>
  </sheetData>
  <mergeCells count="21">
    <mergeCell ref="B2:C3"/>
    <mergeCell ref="B6:B8"/>
    <mergeCell ref="B4:B5"/>
    <mergeCell ref="I2:J2"/>
    <mergeCell ref="I24:J24"/>
    <mergeCell ref="I70:J70"/>
    <mergeCell ref="K70:L70"/>
    <mergeCell ref="N27:O27"/>
    <mergeCell ref="N45:O45"/>
    <mergeCell ref="I53:J53"/>
    <mergeCell ref="I60:J60"/>
    <mergeCell ref="I36:J36"/>
    <mergeCell ref="K60:L60"/>
    <mergeCell ref="I65:J65"/>
    <mergeCell ref="K65:L65"/>
    <mergeCell ref="I27:J27"/>
    <mergeCell ref="I30:J30"/>
    <mergeCell ref="I33:J33"/>
    <mergeCell ref="I39:J39"/>
    <mergeCell ref="I45:J45"/>
    <mergeCell ref="I49:J49"/>
  </mergeCells>
  <conditionalFormatting sqref="N6:N8">
    <cfRule type="cellIs" dxfId="8" priority="15" operator="equal">
      <formula>FALSE</formula>
    </cfRule>
  </conditionalFormatting>
  <conditionalFormatting sqref="D16:H16">
    <cfRule type="cellIs" dxfId="7" priority="14" operator="equal">
      <formula>FALSE</formula>
    </cfRule>
  </conditionalFormatting>
  <conditionalFormatting sqref="I11">
    <cfRule type="cellIs" dxfId="6" priority="7" operator="equal">
      <formula>FALSE</formula>
    </cfRule>
  </conditionalFormatting>
  <conditionalFormatting sqref="J11">
    <cfRule type="cellIs" dxfId="5" priority="6" operator="equal">
      <formula>FALSE</formula>
    </cfRule>
  </conditionalFormatting>
  <conditionalFormatting sqref="O61:O62">
    <cfRule type="cellIs" dxfId="4" priority="5" operator="equal">
      <formula>FALSE</formula>
    </cfRule>
  </conditionalFormatting>
  <conditionalFormatting sqref="O66:O67">
    <cfRule type="cellIs" dxfId="3" priority="4" operator="equal">
      <formula>FALSE</formula>
    </cfRule>
  </conditionalFormatting>
  <conditionalFormatting sqref="O71:O72">
    <cfRule type="cellIs" dxfId="2" priority="3" operator="equal">
      <formula>FALSE</formula>
    </cfRule>
  </conditionalFormatting>
  <conditionalFormatting sqref="I40:J41">
    <cfRule type="cellIs" dxfId="1" priority="2" operator="lessThan">
      <formula>$L40</formula>
    </cfRule>
  </conditionalFormatting>
  <conditionalFormatting sqref="I54:J56">
    <cfRule type="cellIs" dxfId="0" priority="1" operator="lessThan">
      <formula>$L54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"/>
  <sheetViews>
    <sheetView showGridLines="0" workbookViewId="0">
      <selection activeCell="B19" sqref="B19"/>
    </sheetView>
  </sheetViews>
  <sheetFormatPr defaultRowHeight="15" x14ac:dyDescent="0.25"/>
  <cols>
    <col min="1" max="1" width="1.7109375" customWidth="1"/>
    <col min="2" max="2" width="19.7109375" bestFit="1" customWidth="1"/>
    <col min="3" max="7" width="12.7109375" customWidth="1"/>
    <col min="8" max="8" width="9.5703125" bestFit="1" customWidth="1"/>
    <col min="9" max="10" width="9.28515625" customWidth="1"/>
    <col min="11" max="11" width="10.140625" bestFit="1" customWidth="1"/>
  </cols>
  <sheetData>
    <row r="1" spans="2:13" ht="9" customHeight="1" x14ac:dyDescent="0.25"/>
    <row r="2" spans="2:13" x14ac:dyDescent="0.25">
      <c r="B2" s="13" t="s">
        <v>28</v>
      </c>
      <c r="M2" s="13" t="s">
        <v>30</v>
      </c>
    </row>
    <row r="3" spans="2:13" x14ac:dyDescent="0.25">
      <c r="C3" s="15"/>
      <c r="D3" s="16"/>
      <c r="E3" s="17" t="s">
        <v>0</v>
      </c>
      <c r="F3" s="16"/>
      <c r="G3" s="18"/>
      <c r="H3" s="29" t="s">
        <v>1</v>
      </c>
      <c r="I3" s="31" t="s">
        <v>19</v>
      </c>
      <c r="J3" s="16"/>
      <c r="K3" s="41" t="s">
        <v>25</v>
      </c>
    </row>
    <row r="4" spans="2:13" x14ac:dyDescent="0.25">
      <c r="C4" s="9" t="s">
        <v>2</v>
      </c>
      <c r="D4" s="10" t="s">
        <v>3</v>
      </c>
      <c r="E4" s="10" t="s">
        <v>4</v>
      </c>
      <c r="F4" s="10" t="s">
        <v>5</v>
      </c>
      <c r="G4" s="11" t="s">
        <v>6</v>
      </c>
      <c r="H4" s="12"/>
      <c r="I4" s="19" t="s">
        <v>7</v>
      </c>
      <c r="J4" s="40" t="s">
        <v>8</v>
      </c>
      <c r="K4" s="42" t="s">
        <v>24</v>
      </c>
    </row>
    <row r="6" spans="2:13" x14ac:dyDescent="0.25">
      <c r="B6" s="13" t="s">
        <v>20</v>
      </c>
    </row>
    <row r="7" spans="2:13" x14ac:dyDescent="0.25">
      <c r="B7" s="14" t="s">
        <v>34</v>
      </c>
      <c r="C7" s="48">
        <v>1000</v>
      </c>
      <c r="D7" s="48">
        <v>300</v>
      </c>
      <c r="E7" s="48">
        <v>100</v>
      </c>
      <c r="F7" s="48">
        <v>400</v>
      </c>
      <c r="G7" s="48">
        <v>200</v>
      </c>
      <c r="H7" s="27"/>
    </row>
    <row r="8" spans="2:13" x14ac:dyDescent="0.25">
      <c r="B8" s="44" t="s">
        <v>35</v>
      </c>
      <c r="C8" s="49">
        <v>1000</v>
      </c>
      <c r="D8" s="49">
        <v>300</v>
      </c>
      <c r="E8" s="49">
        <v>100</v>
      </c>
      <c r="F8" s="49">
        <v>400</v>
      </c>
      <c r="G8" s="49">
        <v>200</v>
      </c>
      <c r="H8" s="27"/>
    </row>
    <row r="10" spans="2:13" x14ac:dyDescent="0.25">
      <c r="B10" s="13" t="s">
        <v>32</v>
      </c>
    </row>
    <row r="11" spans="2:13" x14ac:dyDescent="0.25">
      <c r="B11" s="14" t="s">
        <v>39</v>
      </c>
      <c r="C11" s="51">
        <v>420</v>
      </c>
      <c r="D11" s="51">
        <v>435</v>
      </c>
      <c r="E11" s="51">
        <v>440</v>
      </c>
      <c r="F11" s="51">
        <v>423</v>
      </c>
      <c r="G11" s="51">
        <v>350</v>
      </c>
      <c r="H11" s="50">
        <f>SUMPRODUCT(C$7:G$7,C11:G11)</f>
        <v>833700</v>
      </c>
      <c r="I11" s="27"/>
    </row>
    <row r="13" spans="2:13" x14ac:dyDescent="0.25">
      <c r="B13" s="13" t="s">
        <v>29</v>
      </c>
    </row>
    <row r="14" spans="2:13" x14ac:dyDescent="0.25">
      <c r="B14" s="14" t="s">
        <v>36</v>
      </c>
      <c r="C14" s="20">
        <v>1</v>
      </c>
      <c r="D14" s="20">
        <v>1</v>
      </c>
      <c r="E14" s="20">
        <v>1</v>
      </c>
      <c r="F14" s="20">
        <v>1</v>
      </c>
      <c r="G14" s="20">
        <v>1</v>
      </c>
      <c r="H14" s="54">
        <f>SUMPRODUCT(C$7:G$7,C14:G14)</f>
        <v>2000</v>
      </c>
      <c r="K14" s="28" t="b">
        <f>H14=H15</f>
        <v>1</v>
      </c>
    </row>
    <row r="15" spans="2:13" x14ac:dyDescent="0.25">
      <c r="F15" s="52"/>
      <c r="G15" s="53" t="s">
        <v>37</v>
      </c>
      <c r="H15" s="51">
        <v>2000</v>
      </c>
    </row>
    <row r="17" spans="2:11" x14ac:dyDescent="0.25">
      <c r="B17" s="13" t="s">
        <v>33</v>
      </c>
    </row>
    <row r="18" spans="2:11" x14ac:dyDescent="0.25">
      <c r="B18" s="21" t="s">
        <v>9</v>
      </c>
      <c r="C18" s="1">
        <v>0.79</v>
      </c>
      <c r="D18" s="2">
        <v>0.68</v>
      </c>
      <c r="E18" s="2">
        <v>0.7</v>
      </c>
      <c r="F18" s="2">
        <v>0.68</v>
      </c>
      <c r="G18" s="2">
        <v>0.79400000000000004</v>
      </c>
      <c r="H18" s="70">
        <f t="shared" ref="H18:H26" si="0">SUMPRODUCT(C$7:G$7,C18:G18)/$H$15</f>
        <v>0.74739999999999995</v>
      </c>
      <c r="I18" s="55">
        <v>0.72</v>
      </c>
      <c r="J18" s="56">
        <v>0.77500000000000002</v>
      </c>
      <c r="K18" s="22" t="b">
        <f t="shared" ref="K18:K26" si="1">AND(H18&gt;=I18,H18&lt;=J18)</f>
        <v>1</v>
      </c>
    </row>
    <row r="19" spans="2:11" x14ac:dyDescent="0.25">
      <c r="B19" s="6" t="s">
        <v>73</v>
      </c>
      <c r="C19" s="4">
        <v>96</v>
      </c>
      <c r="D19" s="5">
        <v>88</v>
      </c>
      <c r="E19" s="5">
        <v>101</v>
      </c>
      <c r="F19" s="5">
        <v>93</v>
      </c>
      <c r="G19" s="5">
        <v>112</v>
      </c>
      <c r="H19" s="71">
        <f t="shared" si="0"/>
        <v>96.05</v>
      </c>
      <c r="I19" s="57">
        <v>95</v>
      </c>
      <c r="J19" s="58">
        <v>999</v>
      </c>
      <c r="K19" s="23" t="b">
        <f t="shared" si="1"/>
        <v>1</v>
      </c>
    </row>
    <row r="20" spans="2:11" x14ac:dyDescent="0.25">
      <c r="B20" s="6" t="s">
        <v>10</v>
      </c>
      <c r="C20" s="6">
        <v>30</v>
      </c>
      <c r="D20" s="3">
        <v>70</v>
      </c>
      <c r="E20" s="3">
        <v>40</v>
      </c>
      <c r="F20" s="3">
        <v>70</v>
      </c>
      <c r="G20" s="25">
        <v>150</v>
      </c>
      <c r="H20" s="71">
        <f t="shared" si="0"/>
        <v>56.5</v>
      </c>
      <c r="I20" s="57">
        <v>45</v>
      </c>
      <c r="J20" s="58">
        <v>60</v>
      </c>
      <c r="K20" s="23" t="b">
        <f t="shared" si="1"/>
        <v>1</v>
      </c>
    </row>
    <row r="21" spans="2:11" x14ac:dyDescent="0.25">
      <c r="B21" s="6" t="s">
        <v>11</v>
      </c>
      <c r="C21" s="6">
        <v>58</v>
      </c>
      <c r="D21" s="3">
        <v>1.5</v>
      </c>
      <c r="E21" s="3">
        <v>0.1</v>
      </c>
      <c r="F21" s="3">
        <v>1</v>
      </c>
      <c r="G21" s="3">
        <v>0</v>
      </c>
      <c r="H21" s="71">
        <f t="shared" si="0"/>
        <v>29.43</v>
      </c>
      <c r="I21" s="57">
        <v>0</v>
      </c>
      <c r="J21" s="58">
        <v>35</v>
      </c>
      <c r="K21" s="23" t="b">
        <f t="shared" si="1"/>
        <v>1</v>
      </c>
    </row>
    <row r="22" spans="2:11" x14ac:dyDescent="0.25">
      <c r="B22" s="6" t="s">
        <v>12</v>
      </c>
      <c r="C22" s="6">
        <v>1.5</v>
      </c>
      <c r="D22" s="3">
        <v>0.1</v>
      </c>
      <c r="E22" s="3">
        <v>0.1</v>
      </c>
      <c r="F22" s="3">
        <v>0.5</v>
      </c>
      <c r="G22" s="3">
        <v>0</v>
      </c>
      <c r="H22" s="72">
        <f t="shared" si="0"/>
        <v>0.87</v>
      </c>
      <c r="I22" s="57">
        <v>0</v>
      </c>
      <c r="J22" s="58">
        <v>1</v>
      </c>
      <c r="K22" s="23" t="b">
        <f t="shared" si="1"/>
        <v>1</v>
      </c>
    </row>
    <row r="23" spans="2:11" x14ac:dyDescent="0.25">
      <c r="B23" s="6" t="s">
        <v>13</v>
      </c>
      <c r="C23" s="6">
        <v>0</v>
      </c>
      <c r="D23" s="3">
        <v>0</v>
      </c>
      <c r="E23" s="3">
        <v>0</v>
      </c>
      <c r="F23" s="3">
        <v>0</v>
      </c>
      <c r="G23" s="3">
        <v>100</v>
      </c>
      <c r="H23" s="71">
        <f t="shared" si="0"/>
        <v>10</v>
      </c>
      <c r="I23" s="57">
        <v>0</v>
      </c>
      <c r="J23" s="58">
        <v>10</v>
      </c>
      <c r="K23" s="23" t="b">
        <f t="shared" si="1"/>
        <v>1</v>
      </c>
    </row>
    <row r="24" spans="2:11" x14ac:dyDescent="0.25">
      <c r="B24" s="6" t="s">
        <v>14</v>
      </c>
      <c r="C24" s="6">
        <v>4</v>
      </c>
      <c r="D24" s="3">
        <v>80</v>
      </c>
      <c r="E24" s="3">
        <v>8</v>
      </c>
      <c r="F24" s="3">
        <v>70</v>
      </c>
      <c r="G24" s="25">
        <v>180</v>
      </c>
      <c r="H24" s="71">
        <f t="shared" si="0"/>
        <v>46.4</v>
      </c>
      <c r="I24" s="57">
        <v>20</v>
      </c>
      <c r="J24" s="58">
        <v>48</v>
      </c>
      <c r="K24" s="23" t="b">
        <f t="shared" si="1"/>
        <v>1</v>
      </c>
    </row>
    <row r="25" spans="2:11" x14ac:dyDescent="0.25">
      <c r="B25" s="6" t="s">
        <v>15</v>
      </c>
      <c r="C25" s="6">
        <v>25</v>
      </c>
      <c r="D25" s="3">
        <v>95</v>
      </c>
      <c r="E25" s="3">
        <v>30</v>
      </c>
      <c r="F25" s="3">
        <v>90</v>
      </c>
      <c r="G25" s="25">
        <v>110</v>
      </c>
      <c r="H25" s="71">
        <f t="shared" si="0"/>
        <v>57.25</v>
      </c>
      <c r="I25" s="57">
        <v>46</v>
      </c>
      <c r="J25" s="58">
        <v>71</v>
      </c>
      <c r="K25" s="23" t="b">
        <f t="shared" si="1"/>
        <v>1</v>
      </c>
    </row>
    <row r="26" spans="2:11" x14ac:dyDescent="0.25">
      <c r="B26" s="8" t="s">
        <v>16</v>
      </c>
      <c r="C26" s="8">
        <v>95</v>
      </c>
      <c r="D26" s="7">
        <v>99</v>
      </c>
      <c r="E26" s="7">
        <v>94</v>
      </c>
      <c r="F26" s="7">
        <v>100</v>
      </c>
      <c r="G26" s="7">
        <v>100</v>
      </c>
      <c r="H26" s="73">
        <f t="shared" si="0"/>
        <v>97.05</v>
      </c>
      <c r="I26" s="59">
        <v>75</v>
      </c>
      <c r="J26" s="60">
        <v>100</v>
      </c>
      <c r="K26" s="24" t="b">
        <f t="shared" si="1"/>
        <v>1</v>
      </c>
    </row>
    <row r="27" spans="2:11" x14ac:dyDescent="0.25">
      <c r="G27" s="26" t="s">
        <v>23</v>
      </c>
    </row>
  </sheetData>
  <conditionalFormatting sqref="K18:K26">
    <cfRule type="cellIs" dxfId="58" priority="3" operator="equal">
      <formula>FALSE</formula>
    </cfRule>
  </conditionalFormatting>
  <conditionalFormatting sqref="K3:K4">
    <cfRule type="cellIs" dxfId="57" priority="1" operator="equal">
      <formula>FALSE</formula>
    </cfRule>
  </conditionalFormatting>
  <conditionalFormatting sqref="K14">
    <cfRule type="cellIs" dxfId="56" priority="2" operator="equal">
      <formula>FALSE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showGridLines="0" workbookViewId="0">
      <selection activeCell="D4" sqref="D4:H5"/>
    </sheetView>
  </sheetViews>
  <sheetFormatPr defaultRowHeight="15" x14ac:dyDescent="0.25"/>
  <cols>
    <col min="1" max="1" width="1.7109375" customWidth="1"/>
    <col min="2" max="2" width="3.7109375" bestFit="1" customWidth="1"/>
    <col min="3" max="3" width="23.42578125" bestFit="1" customWidth="1"/>
    <col min="4" max="8" width="12.7109375" customWidth="1"/>
    <col min="9" max="9" width="10.140625" bestFit="1" customWidth="1"/>
    <col min="10" max="10" width="16.28515625" bestFit="1" customWidth="1"/>
    <col min="11" max="11" width="14.85546875" bestFit="1" customWidth="1"/>
    <col min="12" max="12" width="11.28515625" customWidth="1"/>
    <col min="13" max="13" width="9.28515625" customWidth="1"/>
    <col min="14" max="14" width="16.7109375" bestFit="1" customWidth="1"/>
    <col min="15" max="15" width="16.85546875" bestFit="1" customWidth="1"/>
  </cols>
  <sheetData>
    <row r="1" spans="2:18" ht="9" customHeight="1" x14ac:dyDescent="0.25"/>
    <row r="2" spans="2:18" x14ac:dyDescent="0.25">
      <c r="B2" s="214" t="s">
        <v>45</v>
      </c>
      <c r="C2" s="215"/>
      <c r="D2" s="15"/>
      <c r="E2" s="16"/>
      <c r="F2" s="17" t="s">
        <v>0</v>
      </c>
      <c r="G2" s="16"/>
      <c r="H2" s="18"/>
      <c r="J2" s="67" t="s">
        <v>48</v>
      </c>
      <c r="N2" s="13" t="s">
        <v>53</v>
      </c>
      <c r="R2" s="13" t="s">
        <v>30</v>
      </c>
    </row>
    <row r="3" spans="2:18" x14ac:dyDescent="0.25">
      <c r="B3" s="216"/>
      <c r="C3" s="217"/>
      <c r="D3" s="9" t="s">
        <v>2</v>
      </c>
      <c r="E3" s="10" t="s">
        <v>3</v>
      </c>
      <c r="F3" s="10" t="s">
        <v>4</v>
      </c>
      <c r="G3" s="10" t="s">
        <v>5</v>
      </c>
      <c r="H3" s="11" t="s">
        <v>6</v>
      </c>
      <c r="J3" s="63" t="s">
        <v>41</v>
      </c>
      <c r="K3" s="63" t="s">
        <v>42</v>
      </c>
      <c r="L3" s="63" t="s">
        <v>43</v>
      </c>
      <c r="N3" s="63" t="s">
        <v>51</v>
      </c>
      <c r="O3" s="63" t="s">
        <v>52</v>
      </c>
    </row>
    <row r="4" spans="2:18" ht="18" customHeight="1" x14ac:dyDescent="0.25">
      <c r="B4" s="212" t="s">
        <v>44</v>
      </c>
      <c r="C4" s="65" t="s">
        <v>46</v>
      </c>
      <c r="D4" s="74"/>
      <c r="E4" s="75"/>
      <c r="F4" s="75"/>
      <c r="G4" s="75"/>
      <c r="H4" s="75"/>
      <c r="J4" s="69">
        <f>SUM(D4:H4)</f>
        <v>0</v>
      </c>
      <c r="K4" s="51">
        <v>2500</v>
      </c>
      <c r="L4" s="22" t="b">
        <f>J4&lt;=K4</f>
        <v>1</v>
      </c>
      <c r="N4" s="51">
        <v>425</v>
      </c>
      <c r="O4" s="69">
        <f>N4*J4</f>
        <v>0</v>
      </c>
    </row>
    <row r="5" spans="2:18" ht="18" customHeight="1" x14ac:dyDescent="0.25">
      <c r="B5" s="213"/>
      <c r="C5" s="66" t="s">
        <v>47</v>
      </c>
      <c r="D5" s="74"/>
      <c r="E5" s="75"/>
      <c r="F5" s="75"/>
      <c r="G5" s="75"/>
      <c r="H5" s="75"/>
      <c r="J5" s="69">
        <f>SUM(D5:H5)</f>
        <v>0</v>
      </c>
      <c r="K5" s="51">
        <v>4000</v>
      </c>
      <c r="L5" s="28" t="b">
        <f>J5&lt;=K5</f>
        <v>1</v>
      </c>
      <c r="N5" s="51">
        <v>429</v>
      </c>
      <c r="O5" s="69">
        <f>N5*J5</f>
        <v>0</v>
      </c>
    </row>
    <row r="7" spans="2:18" x14ac:dyDescent="0.25">
      <c r="C7" s="67" t="s">
        <v>49</v>
      </c>
    </row>
    <row r="8" spans="2:18" ht="15" customHeight="1" x14ac:dyDescent="0.25">
      <c r="C8" s="61" t="s">
        <v>40</v>
      </c>
      <c r="D8" s="69">
        <f>SUM(D4:D5)</f>
        <v>0</v>
      </c>
      <c r="E8" s="69">
        <f>SUM(E4:E5)</f>
        <v>0</v>
      </c>
      <c r="F8" s="69">
        <f>SUM(F4:F5)</f>
        <v>0</v>
      </c>
      <c r="G8" s="69">
        <f>SUM(G4:G5)</f>
        <v>0</v>
      </c>
      <c r="H8" s="69">
        <f>SUM(H4:H5)</f>
        <v>0</v>
      </c>
    </row>
    <row r="9" spans="2:18" ht="15" customHeight="1" x14ac:dyDescent="0.25">
      <c r="C9" s="61" t="s">
        <v>50</v>
      </c>
      <c r="D9" s="51">
        <v>2000</v>
      </c>
      <c r="E9" s="51">
        <v>1000</v>
      </c>
      <c r="F9" s="51">
        <v>2000</v>
      </c>
      <c r="G9" s="51">
        <v>2000</v>
      </c>
      <c r="H9" s="51">
        <v>1000</v>
      </c>
    </row>
    <row r="10" spans="2:18" ht="15" customHeight="1" x14ac:dyDescent="0.25">
      <c r="C10" s="61" t="s">
        <v>43</v>
      </c>
      <c r="D10" s="28" t="b">
        <f t="shared" ref="D10:H10" si="0">D8&lt;=D9</f>
        <v>1</v>
      </c>
      <c r="E10" s="28" t="b">
        <f t="shared" si="0"/>
        <v>1</v>
      </c>
      <c r="F10" s="28" t="b">
        <f t="shared" si="0"/>
        <v>1</v>
      </c>
      <c r="G10" s="28" t="b">
        <f t="shared" si="0"/>
        <v>1</v>
      </c>
      <c r="H10" s="28" t="b">
        <f t="shared" si="0"/>
        <v>1</v>
      </c>
    </row>
    <row r="11" spans="2:18" ht="15" customHeight="1" x14ac:dyDescent="0.25"/>
    <row r="12" spans="2:18" ht="15" customHeight="1" x14ac:dyDescent="0.25">
      <c r="C12" s="13" t="s">
        <v>54</v>
      </c>
    </row>
    <row r="13" spans="2:18" ht="15" customHeight="1" x14ac:dyDescent="0.25">
      <c r="C13" s="14" t="s">
        <v>86</v>
      </c>
      <c r="D13" s="51">
        <v>420</v>
      </c>
      <c r="E13" s="51">
        <v>435</v>
      </c>
      <c r="F13" s="51">
        <v>440</v>
      </c>
      <c r="G13" s="51">
        <v>423</v>
      </c>
      <c r="H13" s="51">
        <v>350</v>
      </c>
      <c r="J13" s="27"/>
      <c r="L13" s="27"/>
      <c r="N13" s="13" t="s">
        <v>55</v>
      </c>
    </row>
    <row r="14" spans="2:18" x14ac:dyDescent="0.25">
      <c r="C14" s="14" t="s">
        <v>58</v>
      </c>
      <c r="D14" s="69">
        <f t="shared" ref="D14:H14" si="1">D13*D8</f>
        <v>0</v>
      </c>
      <c r="E14" s="69">
        <f t="shared" si="1"/>
        <v>0</v>
      </c>
      <c r="F14" s="69">
        <f t="shared" si="1"/>
        <v>0</v>
      </c>
      <c r="G14" s="69">
        <f t="shared" si="1"/>
        <v>0</v>
      </c>
      <c r="H14" s="69">
        <f t="shared" si="1"/>
        <v>0</v>
      </c>
      <c r="J14" s="27"/>
      <c r="L14" s="27"/>
      <c r="N14" s="62" t="s">
        <v>56</v>
      </c>
      <c r="O14" s="50">
        <f>SUM(O4:O5)-SUM(D14:H14)</f>
        <v>0</v>
      </c>
    </row>
    <row r="18" spans="3:15" x14ac:dyDescent="0.25">
      <c r="C18" s="13" t="s">
        <v>59</v>
      </c>
      <c r="I18" s="76" t="s">
        <v>62</v>
      </c>
      <c r="J18" s="31" t="s">
        <v>19</v>
      </c>
      <c r="K18" s="16"/>
      <c r="L18" s="31" t="s">
        <v>38</v>
      </c>
      <c r="M18" s="16"/>
      <c r="N18" s="68" t="s">
        <v>21</v>
      </c>
      <c r="O18" s="76" t="s">
        <v>61</v>
      </c>
    </row>
    <row r="19" spans="3:15" x14ac:dyDescent="0.25">
      <c r="I19" s="80" t="s">
        <v>63</v>
      </c>
      <c r="J19" s="19" t="s">
        <v>7</v>
      </c>
      <c r="K19" s="40" t="s">
        <v>8</v>
      </c>
      <c r="L19" s="19" t="s">
        <v>7</v>
      </c>
      <c r="M19" s="40" t="s">
        <v>8</v>
      </c>
      <c r="N19" s="64"/>
      <c r="O19" s="64"/>
    </row>
    <row r="20" spans="3:15" x14ac:dyDescent="0.25">
      <c r="C20" s="21" t="s">
        <v>9</v>
      </c>
      <c r="D20" s="1">
        <v>0.79</v>
      </c>
      <c r="E20" s="2">
        <v>0.68</v>
      </c>
      <c r="F20" s="2">
        <v>0.7</v>
      </c>
      <c r="G20" s="2">
        <v>0.68</v>
      </c>
      <c r="H20" s="2">
        <v>0.79400000000000004</v>
      </c>
      <c r="I20" s="81">
        <f t="shared" ref="I20:I28" si="2">SUMPRODUCT(D$4:H$4,D20:H20)</f>
        <v>0</v>
      </c>
      <c r="J20" s="32">
        <v>0.72</v>
      </c>
      <c r="K20" s="33">
        <v>0.77500000000000002</v>
      </c>
      <c r="L20" s="55">
        <f t="shared" ref="L20:L28" si="3">J20*$J$4</f>
        <v>0</v>
      </c>
      <c r="M20" s="56">
        <f t="shared" ref="M20:M28" si="4">K20*$J$4</f>
        <v>0</v>
      </c>
      <c r="N20" s="22" t="b">
        <f t="shared" ref="N20:N28" si="5">AND(I20&gt;=L20,I20&lt;=M20)</f>
        <v>1</v>
      </c>
      <c r="O20" s="77" t="e">
        <f t="shared" ref="O20:O28" si="6">I20/$J$4</f>
        <v>#DIV/0!</v>
      </c>
    </row>
    <row r="21" spans="3:15" x14ac:dyDescent="0.25">
      <c r="C21" s="6" t="s">
        <v>73</v>
      </c>
      <c r="D21" s="4">
        <v>96</v>
      </c>
      <c r="E21" s="5">
        <v>88</v>
      </c>
      <c r="F21" s="5">
        <v>101</v>
      </c>
      <c r="G21" s="5">
        <v>93</v>
      </c>
      <c r="H21" s="5">
        <v>112</v>
      </c>
      <c r="I21" s="82">
        <f t="shared" si="2"/>
        <v>0</v>
      </c>
      <c r="J21" s="34">
        <v>95</v>
      </c>
      <c r="K21" s="35">
        <v>999</v>
      </c>
      <c r="L21" s="57">
        <f t="shared" si="3"/>
        <v>0</v>
      </c>
      <c r="M21" s="58">
        <f t="shared" si="4"/>
        <v>0</v>
      </c>
      <c r="N21" s="23" t="b">
        <f t="shared" si="5"/>
        <v>1</v>
      </c>
      <c r="O21" s="78" t="e">
        <f t="shared" si="6"/>
        <v>#DIV/0!</v>
      </c>
    </row>
    <row r="22" spans="3:15" x14ac:dyDescent="0.25">
      <c r="C22" s="6" t="s">
        <v>10</v>
      </c>
      <c r="D22" s="6">
        <v>30</v>
      </c>
      <c r="E22" s="3">
        <v>70</v>
      </c>
      <c r="F22" s="3">
        <v>40</v>
      </c>
      <c r="G22" s="3">
        <v>70</v>
      </c>
      <c r="H22" s="25">
        <v>150</v>
      </c>
      <c r="I22" s="82">
        <f t="shared" si="2"/>
        <v>0</v>
      </c>
      <c r="J22" s="36">
        <v>45</v>
      </c>
      <c r="K22" s="37">
        <v>60</v>
      </c>
      <c r="L22" s="57">
        <f t="shared" si="3"/>
        <v>0</v>
      </c>
      <c r="M22" s="58">
        <f t="shared" si="4"/>
        <v>0</v>
      </c>
      <c r="N22" s="23" t="b">
        <f t="shared" si="5"/>
        <v>1</v>
      </c>
      <c r="O22" s="78" t="e">
        <f t="shared" si="6"/>
        <v>#DIV/0!</v>
      </c>
    </row>
    <row r="23" spans="3:15" x14ac:dyDescent="0.25">
      <c r="C23" s="6" t="s">
        <v>11</v>
      </c>
      <c r="D23" s="6">
        <v>58</v>
      </c>
      <c r="E23" s="3">
        <v>1.5</v>
      </c>
      <c r="F23" s="3">
        <v>0.1</v>
      </c>
      <c r="G23" s="3">
        <v>1</v>
      </c>
      <c r="H23" s="3">
        <v>0</v>
      </c>
      <c r="I23" s="82">
        <f t="shared" si="2"/>
        <v>0</v>
      </c>
      <c r="J23" s="36">
        <v>0</v>
      </c>
      <c r="K23" s="37">
        <v>35</v>
      </c>
      <c r="L23" s="57">
        <f t="shared" si="3"/>
        <v>0</v>
      </c>
      <c r="M23" s="58">
        <f t="shared" si="4"/>
        <v>0</v>
      </c>
      <c r="N23" s="23" t="b">
        <f t="shared" si="5"/>
        <v>1</v>
      </c>
      <c r="O23" s="78" t="e">
        <f t="shared" si="6"/>
        <v>#DIV/0!</v>
      </c>
    </row>
    <row r="24" spans="3:15" x14ac:dyDescent="0.25">
      <c r="C24" s="6" t="s">
        <v>12</v>
      </c>
      <c r="D24" s="6">
        <v>1.5</v>
      </c>
      <c r="E24" s="3">
        <v>0.1</v>
      </c>
      <c r="F24" s="3">
        <v>0.1</v>
      </c>
      <c r="G24" s="3">
        <v>0.5</v>
      </c>
      <c r="H24" s="3">
        <v>0</v>
      </c>
      <c r="I24" s="82">
        <f t="shared" si="2"/>
        <v>0</v>
      </c>
      <c r="J24" s="36">
        <v>0</v>
      </c>
      <c r="K24" s="37">
        <v>1</v>
      </c>
      <c r="L24" s="57">
        <f t="shared" si="3"/>
        <v>0</v>
      </c>
      <c r="M24" s="58">
        <f t="shared" si="4"/>
        <v>0</v>
      </c>
      <c r="N24" s="23" t="b">
        <f t="shared" si="5"/>
        <v>1</v>
      </c>
      <c r="O24" s="78" t="e">
        <f t="shared" si="6"/>
        <v>#DIV/0!</v>
      </c>
    </row>
    <row r="25" spans="3:15" x14ac:dyDescent="0.25">
      <c r="C25" s="6" t="s">
        <v>13</v>
      </c>
      <c r="D25" s="6">
        <v>0</v>
      </c>
      <c r="E25" s="3">
        <v>0</v>
      </c>
      <c r="F25" s="3">
        <v>0</v>
      </c>
      <c r="G25" s="3">
        <v>0</v>
      </c>
      <c r="H25" s="3">
        <v>100</v>
      </c>
      <c r="I25" s="82">
        <f t="shared" si="2"/>
        <v>0</v>
      </c>
      <c r="J25" s="36">
        <v>0</v>
      </c>
      <c r="K25" s="37">
        <v>10</v>
      </c>
      <c r="L25" s="57">
        <f t="shared" si="3"/>
        <v>0</v>
      </c>
      <c r="M25" s="58">
        <f t="shared" si="4"/>
        <v>0</v>
      </c>
      <c r="N25" s="23" t="b">
        <f t="shared" si="5"/>
        <v>1</v>
      </c>
      <c r="O25" s="78" t="e">
        <f t="shared" si="6"/>
        <v>#DIV/0!</v>
      </c>
    </row>
    <row r="26" spans="3:15" x14ac:dyDescent="0.25">
      <c r="C26" s="6" t="s">
        <v>14</v>
      </c>
      <c r="D26" s="6">
        <v>4</v>
      </c>
      <c r="E26" s="3">
        <v>80</v>
      </c>
      <c r="F26" s="3">
        <v>8</v>
      </c>
      <c r="G26" s="3">
        <v>70</v>
      </c>
      <c r="H26" s="25">
        <v>180</v>
      </c>
      <c r="I26" s="82">
        <f t="shared" si="2"/>
        <v>0</v>
      </c>
      <c r="J26" s="36">
        <v>20</v>
      </c>
      <c r="K26" s="37">
        <v>48</v>
      </c>
      <c r="L26" s="57">
        <f t="shared" si="3"/>
        <v>0</v>
      </c>
      <c r="M26" s="58">
        <f t="shared" si="4"/>
        <v>0</v>
      </c>
      <c r="N26" s="23" t="b">
        <f t="shared" si="5"/>
        <v>1</v>
      </c>
      <c r="O26" s="78" t="e">
        <f t="shared" si="6"/>
        <v>#DIV/0!</v>
      </c>
    </row>
    <row r="27" spans="3:15" x14ac:dyDescent="0.25">
      <c r="C27" s="6" t="s">
        <v>15</v>
      </c>
      <c r="D27" s="6">
        <v>25</v>
      </c>
      <c r="E27" s="3">
        <v>95</v>
      </c>
      <c r="F27" s="3">
        <v>30</v>
      </c>
      <c r="G27" s="3">
        <v>90</v>
      </c>
      <c r="H27" s="25">
        <v>110</v>
      </c>
      <c r="I27" s="82">
        <f t="shared" si="2"/>
        <v>0</v>
      </c>
      <c r="J27" s="36">
        <v>46</v>
      </c>
      <c r="K27" s="37">
        <v>71</v>
      </c>
      <c r="L27" s="57">
        <f t="shared" si="3"/>
        <v>0</v>
      </c>
      <c r="M27" s="58">
        <f t="shared" si="4"/>
        <v>0</v>
      </c>
      <c r="N27" s="23" t="b">
        <f t="shared" si="5"/>
        <v>1</v>
      </c>
      <c r="O27" s="78" t="e">
        <f t="shared" si="6"/>
        <v>#DIV/0!</v>
      </c>
    </row>
    <row r="28" spans="3:15" x14ac:dyDescent="0.25">
      <c r="C28" s="8" t="s">
        <v>16</v>
      </c>
      <c r="D28" s="8">
        <v>95</v>
      </c>
      <c r="E28" s="7">
        <v>99</v>
      </c>
      <c r="F28" s="7">
        <v>94</v>
      </c>
      <c r="G28" s="7">
        <v>100</v>
      </c>
      <c r="H28" s="7">
        <v>100</v>
      </c>
      <c r="I28" s="83">
        <f t="shared" si="2"/>
        <v>0</v>
      </c>
      <c r="J28" s="38">
        <v>75</v>
      </c>
      <c r="K28" s="39">
        <v>100</v>
      </c>
      <c r="L28" s="59">
        <f t="shared" si="3"/>
        <v>0</v>
      </c>
      <c r="M28" s="60">
        <f t="shared" si="4"/>
        <v>0</v>
      </c>
      <c r="N28" s="24" t="b">
        <f t="shared" si="5"/>
        <v>1</v>
      </c>
      <c r="O28" s="79" t="e">
        <f t="shared" si="6"/>
        <v>#DIV/0!</v>
      </c>
    </row>
    <row r="29" spans="3:15" x14ac:dyDescent="0.25">
      <c r="H29" s="26" t="s">
        <v>23</v>
      </c>
    </row>
    <row r="31" spans="3:15" x14ac:dyDescent="0.25">
      <c r="C31" s="13" t="s">
        <v>60</v>
      </c>
      <c r="I31" s="76" t="s">
        <v>62</v>
      </c>
      <c r="J31" s="31" t="s">
        <v>19</v>
      </c>
      <c r="K31" s="16"/>
      <c r="L31" s="31" t="s">
        <v>38</v>
      </c>
      <c r="M31" s="16"/>
      <c r="N31" s="68" t="s">
        <v>21</v>
      </c>
      <c r="O31" s="76" t="s">
        <v>61</v>
      </c>
    </row>
    <row r="32" spans="3:15" x14ac:dyDescent="0.25">
      <c r="I32" s="80" t="s">
        <v>63</v>
      </c>
      <c r="J32" s="19" t="s">
        <v>7</v>
      </c>
      <c r="K32" s="40" t="s">
        <v>8</v>
      </c>
      <c r="L32" s="19" t="s">
        <v>7</v>
      </c>
      <c r="M32" s="40" t="s">
        <v>8</v>
      </c>
      <c r="N32" s="64"/>
      <c r="O32" s="64"/>
    </row>
    <row r="33" spans="3:15" x14ac:dyDescent="0.25">
      <c r="C33" s="21" t="s">
        <v>9</v>
      </c>
      <c r="D33" s="1">
        <v>0.79</v>
      </c>
      <c r="E33" s="2">
        <v>0.68</v>
      </c>
      <c r="F33" s="2">
        <v>0.7</v>
      </c>
      <c r="G33" s="2">
        <v>0.68</v>
      </c>
      <c r="H33" s="2">
        <v>0.79400000000000004</v>
      </c>
      <c r="I33" s="81">
        <f t="shared" ref="I33:I41" si="7">SUMPRODUCT(D$5:H$5,D33:H33)</f>
        <v>0</v>
      </c>
      <c r="J33" s="32">
        <v>0.72</v>
      </c>
      <c r="K33" s="33">
        <v>0.77500000000000002</v>
      </c>
      <c r="L33" s="55">
        <f t="shared" ref="L33:L41" si="8">J33*$J$5</f>
        <v>0</v>
      </c>
      <c r="M33" s="56">
        <f t="shared" ref="M33:M41" si="9">K33*$J$5</f>
        <v>0</v>
      </c>
      <c r="N33" s="22" t="b">
        <f t="shared" ref="N33:N41" si="10">AND(I33&gt;=L33,I33&lt;=M33)</f>
        <v>1</v>
      </c>
      <c r="O33" s="77" t="e">
        <f t="shared" ref="O33:O41" si="11">I33/$J$5</f>
        <v>#DIV/0!</v>
      </c>
    </row>
    <row r="34" spans="3:15" x14ac:dyDescent="0.25">
      <c r="C34" s="6" t="s">
        <v>73</v>
      </c>
      <c r="D34" s="4">
        <v>96</v>
      </c>
      <c r="E34" s="5">
        <v>88</v>
      </c>
      <c r="F34" s="5">
        <v>101</v>
      </c>
      <c r="G34" s="5">
        <v>93</v>
      </c>
      <c r="H34" s="5">
        <v>112</v>
      </c>
      <c r="I34" s="82">
        <f t="shared" si="7"/>
        <v>0</v>
      </c>
      <c r="J34" s="34">
        <v>95</v>
      </c>
      <c r="K34" s="35">
        <v>999</v>
      </c>
      <c r="L34" s="57">
        <f t="shared" si="8"/>
        <v>0</v>
      </c>
      <c r="M34" s="58">
        <f t="shared" si="9"/>
        <v>0</v>
      </c>
      <c r="N34" s="23" t="b">
        <f t="shared" si="10"/>
        <v>1</v>
      </c>
      <c r="O34" s="78" t="e">
        <f t="shared" si="11"/>
        <v>#DIV/0!</v>
      </c>
    </row>
    <row r="35" spans="3:15" x14ac:dyDescent="0.25">
      <c r="C35" s="6" t="s">
        <v>10</v>
      </c>
      <c r="D35" s="6">
        <v>30</v>
      </c>
      <c r="E35" s="3">
        <v>70</v>
      </c>
      <c r="F35" s="3">
        <v>40</v>
      </c>
      <c r="G35" s="3">
        <v>70</v>
      </c>
      <c r="H35" s="25">
        <v>150</v>
      </c>
      <c r="I35" s="82">
        <f t="shared" si="7"/>
        <v>0</v>
      </c>
      <c r="J35" s="36">
        <v>45</v>
      </c>
      <c r="K35" s="37">
        <v>60</v>
      </c>
      <c r="L35" s="57">
        <f t="shared" si="8"/>
        <v>0</v>
      </c>
      <c r="M35" s="58">
        <f t="shared" si="9"/>
        <v>0</v>
      </c>
      <c r="N35" s="23" t="b">
        <f t="shared" si="10"/>
        <v>1</v>
      </c>
      <c r="O35" s="78" t="e">
        <f t="shared" si="11"/>
        <v>#DIV/0!</v>
      </c>
    </row>
    <row r="36" spans="3:15" x14ac:dyDescent="0.25">
      <c r="C36" s="6" t="s">
        <v>11</v>
      </c>
      <c r="D36" s="6">
        <v>58</v>
      </c>
      <c r="E36" s="3">
        <v>1.5</v>
      </c>
      <c r="F36" s="3">
        <v>0.1</v>
      </c>
      <c r="G36" s="3">
        <v>1</v>
      </c>
      <c r="H36" s="3">
        <v>0</v>
      </c>
      <c r="I36" s="82">
        <f t="shared" si="7"/>
        <v>0</v>
      </c>
      <c r="J36" s="36">
        <v>0</v>
      </c>
      <c r="K36" s="37">
        <v>35</v>
      </c>
      <c r="L36" s="57">
        <f t="shared" si="8"/>
        <v>0</v>
      </c>
      <c r="M36" s="58">
        <f t="shared" si="9"/>
        <v>0</v>
      </c>
      <c r="N36" s="23" t="b">
        <f t="shared" si="10"/>
        <v>1</v>
      </c>
      <c r="O36" s="78" t="e">
        <f t="shared" si="11"/>
        <v>#DIV/0!</v>
      </c>
    </row>
    <row r="37" spans="3:15" x14ac:dyDescent="0.25">
      <c r="C37" s="6" t="s">
        <v>12</v>
      </c>
      <c r="D37" s="6">
        <v>1.5</v>
      </c>
      <c r="E37" s="3">
        <v>0.1</v>
      </c>
      <c r="F37" s="3">
        <v>0.1</v>
      </c>
      <c r="G37" s="3">
        <v>0.5</v>
      </c>
      <c r="H37" s="3">
        <v>0</v>
      </c>
      <c r="I37" s="82">
        <f t="shared" si="7"/>
        <v>0</v>
      </c>
      <c r="J37" s="36">
        <v>0</v>
      </c>
      <c r="K37" s="37">
        <v>1</v>
      </c>
      <c r="L37" s="57">
        <f t="shared" si="8"/>
        <v>0</v>
      </c>
      <c r="M37" s="58">
        <f t="shared" si="9"/>
        <v>0</v>
      </c>
      <c r="N37" s="23" t="b">
        <f t="shared" si="10"/>
        <v>1</v>
      </c>
      <c r="O37" s="78" t="e">
        <f t="shared" si="11"/>
        <v>#DIV/0!</v>
      </c>
    </row>
    <row r="38" spans="3:15" x14ac:dyDescent="0.25">
      <c r="C38" s="6" t="s">
        <v>13</v>
      </c>
      <c r="D38" s="6">
        <v>0</v>
      </c>
      <c r="E38" s="3">
        <v>0</v>
      </c>
      <c r="F38" s="3">
        <v>0</v>
      </c>
      <c r="G38" s="3">
        <v>0</v>
      </c>
      <c r="H38" s="3">
        <v>100</v>
      </c>
      <c r="I38" s="82">
        <f t="shared" si="7"/>
        <v>0</v>
      </c>
      <c r="J38" s="36">
        <v>0</v>
      </c>
      <c r="K38" s="37">
        <v>5</v>
      </c>
      <c r="L38" s="57">
        <f t="shared" si="8"/>
        <v>0</v>
      </c>
      <c r="M38" s="58">
        <f t="shared" si="9"/>
        <v>0</v>
      </c>
      <c r="N38" s="23" t="b">
        <f t="shared" si="10"/>
        <v>1</v>
      </c>
      <c r="O38" s="78" t="e">
        <f t="shared" si="11"/>
        <v>#DIV/0!</v>
      </c>
    </row>
    <row r="39" spans="3:15" x14ac:dyDescent="0.25">
      <c r="C39" s="6" t="s">
        <v>14</v>
      </c>
      <c r="D39" s="6">
        <v>4</v>
      </c>
      <c r="E39" s="3">
        <v>80</v>
      </c>
      <c r="F39" s="3">
        <v>8</v>
      </c>
      <c r="G39" s="3">
        <v>70</v>
      </c>
      <c r="H39" s="25">
        <v>180</v>
      </c>
      <c r="I39" s="82">
        <f t="shared" si="7"/>
        <v>0</v>
      </c>
      <c r="J39" s="36">
        <v>20</v>
      </c>
      <c r="K39" s="37">
        <v>48</v>
      </c>
      <c r="L39" s="57">
        <f t="shared" si="8"/>
        <v>0</v>
      </c>
      <c r="M39" s="58">
        <f t="shared" si="9"/>
        <v>0</v>
      </c>
      <c r="N39" s="23" t="b">
        <f t="shared" si="10"/>
        <v>1</v>
      </c>
      <c r="O39" s="78" t="e">
        <f t="shared" si="11"/>
        <v>#DIV/0!</v>
      </c>
    </row>
    <row r="40" spans="3:15" x14ac:dyDescent="0.25">
      <c r="C40" s="6" t="s">
        <v>15</v>
      </c>
      <c r="D40" s="6">
        <v>25</v>
      </c>
      <c r="E40" s="3">
        <v>95</v>
      </c>
      <c r="F40" s="3">
        <v>30</v>
      </c>
      <c r="G40" s="3">
        <v>90</v>
      </c>
      <c r="H40" s="25">
        <v>110</v>
      </c>
      <c r="I40" s="82">
        <f t="shared" si="7"/>
        <v>0</v>
      </c>
      <c r="J40" s="36">
        <v>46</v>
      </c>
      <c r="K40" s="37">
        <v>71</v>
      </c>
      <c r="L40" s="57">
        <f t="shared" si="8"/>
        <v>0</v>
      </c>
      <c r="M40" s="58">
        <f t="shared" si="9"/>
        <v>0</v>
      </c>
      <c r="N40" s="23" t="b">
        <f t="shared" si="10"/>
        <v>1</v>
      </c>
      <c r="O40" s="78" t="e">
        <f t="shared" si="11"/>
        <v>#DIV/0!</v>
      </c>
    </row>
    <row r="41" spans="3:15" x14ac:dyDescent="0.25">
      <c r="C41" s="8" t="s">
        <v>16</v>
      </c>
      <c r="D41" s="8">
        <v>95</v>
      </c>
      <c r="E41" s="7">
        <v>99</v>
      </c>
      <c r="F41" s="7">
        <v>94</v>
      </c>
      <c r="G41" s="7">
        <v>100</v>
      </c>
      <c r="H41" s="7">
        <v>100</v>
      </c>
      <c r="I41" s="83">
        <f t="shared" si="7"/>
        <v>0</v>
      </c>
      <c r="J41" s="38">
        <v>75</v>
      </c>
      <c r="K41" s="39">
        <v>100</v>
      </c>
      <c r="L41" s="59">
        <f t="shared" si="8"/>
        <v>0</v>
      </c>
      <c r="M41" s="60">
        <f t="shared" si="9"/>
        <v>0</v>
      </c>
      <c r="N41" s="24" t="b">
        <f t="shared" si="10"/>
        <v>1</v>
      </c>
      <c r="O41" s="79" t="e">
        <f t="shared" si="11"/>
        <v>#DIV/0!</v>
      </c>
    </row>
    <row r="42" spans="3:15" x14ac:dyDescent="0.25">
      <c r="H42" s="26" t="s">
        <v>23</v>
      </c>
    </row>
  </sheetData>
  <mergeCells count="2">
    <mergeCell ref="B4:B5"/>
    <mergeCell ref="B2:C3"/>
  </mergeCells>
  <conditionalFormatting sqref="N20:N28">
    <cfRule type="cellIs" dxfId="55" priority="6" operator="equal">
      <formula>FALSE</formula>
    </cfRule>
  </conditionalFormatting>
  <conditionalFormatting sqref="L4:L5">
    <cfRule type="cellIs" dxfId="54" priority="3" operator="equal">
      <formula>FALSE</formula>
    </cfRule>
  </conditionalFormatting>
  <conditionalFormatting sqref="D10:H10">
    <cfRule type="cellIs" dxfId="53" priority="2" operator="equal">
      <formula>FALSE</formula>
    </cfRule>
  </conditionalFormatting>
  <conditionalFormatting sqref="N33:N41">
    <cfRule type="cellIs" dxfId="52" priority="1" operator="equal">
      <formula>FALSE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5"/>
  <sheetViews>
    <sheetView showGridLines="0" workbookViewId="0">
      <selection activeCell="D4" sqref="D4:H5"/>
    </sheetView>
  </sheetViews>
  <sheetFormatPr defaultRowHeight="15" x14ac:dyDescent="0.25"/>
  <cols>
    <col min="1" max="1" width="1.7109375" customWidth="1"/>
    <col min="2" max="2" width="3.7109375" bestFit="1" customWidth="1"/>
    <col min="3" max="3" width="23.42578125" bestFit="1" customWidth="1"/>
    <col min="4" max="8" width="12.7109375" customWidth="1"/>
    <col min="9" max="9" width="10.140625" bestFit="1" customWidth="1"/>
    <col min="10" max="10" width="16.28515625" bestFit="1" customWidth="1"/>
    <col min="11" max="11" width="14.85546875" bestFit="1" customWidth="1"/>
    <col min="12" max="12" width="11.28515625" customWidth="1"/>
    <col min="13" max="13" width="9.28515625" customWidth="1"/>
    <col min="14" max="14" width="16.7109375" bestFit="1" customWidth="1"/>
    <col min="15" max="15" width="16.85546875" bestFit="1" customWidth="1"/>
    <col min="17" max="17" width="15.42578125" bestFit="1" customWidth="1"/>
  </cols>
  <sheetData>
    <row r="1" spans="2:22" ht="9" customHeight="1" x14ac:dyDescent="0.25"/>
    <row r="2" spans="2:22" x14ac:dyDescent="0.25">
      <c r="B2" s="214" t="s">
        <v>45</v>
      </c>
      <c r="C2" s="215"/>
      <c r="D2" s="15"/>
      <c r="E2" s="16"/>
      <c r="F2" s="17" t="s">
        <v>0</v>
      </c>
      <c r="G2" s="16"/>
      <c r="H2" s="18"/>
      <c r="J2" s="67" t="s">
        <v>48</v>
      </c>
      <c r="N2" s="13" t="s">
        <v>53</v>
      </c>
      <c r="R2" s="13" t="s">
        <v>30</v>
      </c>
    </row>
    <row r="3" spans="2:22" x14ac:dyDescent="0.25">
      <c r="B3" s="216"/>
      <c r="C3" s="217"/>
      <c r="D3" s="9" t="s">
        <v>2</v>
      </c>
      <c r="E3" s="10" t="s">
        <v>3</v>
      </c>
      <c r="F3" s="10" t="s">
        <v>4</v>
      </c>
      <c r="G3" s="10" t="s">
        <v>5</v>
      </c>
      <c r="H3" s="11" t="s">
        <v>6</v>
      </c>
      <c r="J3" s="63" t="s">
        <v>41</v>
      </c>
      <c r="K3" s="63" t="s">
        <v>42</v>
      </c>
      <c r="L3" s="63" t="s">
        <v>43</v>
      </c>
      <c r="N3" s="63" t="s">
        <v>51</v>
      </c>
      <c r="O3" s="63" t="s">
        <v>52</v>
      </c>
      <c r="R3" t="s">
        <v>71</v>
      </c>
      <c r="U3" s="105">
        <v>9.9999999999999995E-7</v>
      </c>
      <c r="V3" t="s">
        <v>72</v>
      </c>
    </row>
    <row r="4" spans="2:22" ht="18" customHeight="1" x14ac:dyDescent="0.25">
      <c r="B4" s="212" t="s">
        <v>44</v>
      </c>
      <c r="C4" s="65" t="s">
        <v>46</v>
      </c>
      <c r="D4" s="74"/>
      <c r="E4" s="75"/>
      <c r="F4" s="75"/>
      <c r="G4" s="75"/>
      <c r="H4" s="75"/>
      <c r="J4" s="69">
        <f>SUM(D4:H4)</f>
        <v>0</v>
      </c>
      <c r="K4" s="51">
        <v>2500</v>
      </c>
      <c r="L4" s="22" t="b">
        <f t="shared" ref="L4:L5" si="0">J4&lt;=K4*(1+$U$3)</f>
        <v>1</v>
      </c>
      <c r="N4" s="51">
        <v>425</v>
      </c>
      <c r="O4" s="69">
        <f>N4*J4</f>
        <v>0</v>
      </c>
    </row>
    <row r="5" spans="2:22" ht="18" customHeight="1" x14ac:dyDescent="0.25">
      <c r="B5" s="213"/>
      <c r="C5" s="66" t="s">
        <v>47</v>
      </c>
      <c r="D5" s="74"/>
      <c r="E5" s="75"/>
      <c r="F5" s="75"/>
      <c r="G5" s="75"/>
      <c r="H5" s="75"/>
      <c r="J5" s="69">
        <f>SUM(D5:H5)</f>
        <v>0</v>
      </c>
      <c r="K5" s="51">
        <v>4000</v>
      </c>
      <c r="L5" s="28" t="b">
        <f t="shared" si="0"/>
        <v>1</v>
      </c>
      <c r="N5" s="51">
        <v>429</v>
      </c>
      <c r="O5" s="69">
        <f>N5*J5</f>
        <v>0</v>
      </c>
    </row>
    <row r="6" spans="2:22" ht="18" customHeight="1" x14ac:dyDescent="0.25"/>
    <row r="7" spans="2:22" ht="18" customHeight="1" x14ac:dyDescent="0.25">
      <c r="C7" s="67" t="s">
        <v>69</v>
      </c>
    </row>
    <row r="8" spans="2:22" ht="15" customHeight="1" x14ac:dyDescent="0.25">
      <c r="C8" s="61" t="s">
        <v>64</v>
      </c>
      <c r="D8" s="84">
        <f>D27</f>
        <v>0.79</v>
      </c>
      <c r="E8" s="84">
        <f>E27</f>
        <v>0.68</v>
      </c>
      <c r="F8" s="84">
        <f>F27</f>
        <v>0.7</v>
      </c>
      <c r="G8" s="84">
        <f>G27</f>
        <v>0.68</v>
      </c>
      <c r="H8" s="84">
        <f>H27</f>
        <v>0.79400000000000004</v>
      </c>
      <c r="J8" s="63" t="s">
        <v>70</v>
      </c>
    </row>
    <row r="9" spans="2:22" ht="15" customHeight="1" x14ac:dyDescent="0.25">
      <c r="C9" s="93" t="s">
        <v>46</v>
      </c>
      <c r="D9" s="95">
        <f t="shared" ref="D9:H10" si="1">D4*D$8</f>
        <v>0</v>
      </c>
      <c r="E9" s="95">
        <f t="shared" si="1"/>
        <v>0</v>
      </c>
      <c r="F9" s="95">
        <f t="shared" si="1"/>
        <v>0</v>
      </c>
      <c r="G9" s="95">
        <f t="shared" si="1"/>
        <v>0</v>
      </c>
      <c r="H9" s="95">
        <f t="shared" si="1"/>
        <v>0</v>
      </c>
      <c r="J9" s="69">
        <f>SUM(D9:H9)</f>
        <v>0</v>
      </c>
    </row>
    <row r="10" spans="2:22" ht="15" customHeight="1" x14ac:dyDescent="0.25">
      <c r="C10" s="94" t="s">
        <v>47</v>
      </c>
      <c r="D10" s="95">
        <f t="shared" si="1"/>
        <v>0</v>
      </c>
      <c r="E10" s="95">
        <f t="shared" si="1"/>
        <v>0</v>
      </c>
      <c r="F10" s="95">
        <f t="shared" si="1"/>
        <v>0</v>
      </c>
      <c r="G10" s="95">
        <f t="shared" si="1"/>
        <v>0</v>
      </c>
      <c r="H10" s="95">
        <f t="shared" si="1"/>
        <v>0</v>
      </c>
      <c r="J10" s="69">
        <f>SUM(D10:H10)</f>
        <v>0</v>
      </c>
    </row>
    <row r="13" spans="2:22" x14ac:dyDescent="0.25">
      <c r="C13" s="67" t="s">
        <v>49</v>
      </c>
    </row>
    <row r="14" spans="2:22" ht="15" customHeight="1" x14ac:dyDescent="0.25">
      <c r="C14" s="61" t="s">
        <v>40</v>
      </c>
      <c r="D14" s="69">
        <f>SUM(D4:D5)</f>
        <v>0</v>
      </c>
      <c r="E14" s="69">
        <f>SUM(E4:E5)</f>
        <v>0</v>
      </c>
      <c r="F14" s="69">
        <f>SUM(F4:F5)</f>
        <v>0</v>
      </c>
      <c r="G14" s="69">
        <f>SUM(G4:G5)</f>
        <v>0</v>
      </c>
      <c r="H14" s="69">
        <f>SUM(H4:H5)</f>
        <v>0</v>
      </c>
    </row>
    <row r="15" spans="2:22" ht="15" customHeight="1" x14ac:dyDescent="0.25">
      <c r="C15" s="61" t="s">
        <v>50</v>
      </c>
      <c r="D15" s="51">
        <v>2000</v>
      </c>
      <c r="E15" s="51">
        <v>1000</v>
      </c>
      <c r="F15" s="51">
        <v>2000</v>
      </c>
      <c r="G15" s="51">
        <v>2000</v>
      </c>
      <c r="H15" s="51">
        <v>1000</v>
      </c>
    </row>
    <row r="16" spans="2:22" ht="15" customHeight="1" x14ac:dyDescent="0.25">
      <c r="C16" s="61" t="s">
        <v>43</v>
      </c>
      <c r="D16" s="28" t="b">
        <f t="shared" ref="D16:H16" si="2">D14&lt;=D15*(1+$U$3)</f>
        <v>1</v>
      </c>
      <c r="E16" s="28" t="b">
        <f t="shared" si="2"/>
        <v>1</v>
      </c>
      <c r="F16" s="28" t="b">
        <f t="shared" si="2"/>
        <v>1</v>
      </c>
      <c r="G16" s="28" t="b">
        <f t="shared" si="2"/>
        <v>1</v>
      </c>
      <c r="H16" s="28" t="b">
        <f t="shared" si="2"/>
        <v>1</v>
      </c>
    </row>
    <row r="17" spans="3:15" ht="15" customHeight="1" x14ac:dyDescent="0.25">
      <c r="C17" s="61" t="s">
        <v>65</v>
      </c>
      <c r="D17" s="69">
        <f>D14*D8</f>
        <v>0</v>
      </c>
      <c r="E17" s="69">
        <f>E14*E8</f>
        <v>0</v>
      </c>
      <c r="F17" s="69">
        <f>F14*F8</f>
        <v>0</v>
      </c>
      <c r="G17" s="69">
        <f>G14*G8</f>
        <v>0</v>
      </c>
      <c r="H17" s="69">
        <f>H14*H8</f>
        <v>0</v>
      </c>
    </row>
    <row r="18" spans="3:15" ht="15" customHeight="1" x14ac:dyDescent="0.25"/>
    <row r="19" spans="3:15" ht="15" customHeight="1" x14ac:dyDescent="0.25">
      <c r="C19" s="13" t="s">
        <v>54</v>
      </c>
    </row>
    <row r="20" spans="3:15" ht="15" customHeight="1" x14ac:dyDescent="0.25">
      <c r="C20" s="14" t="s">
        <v>86</v>
      </c>
      <c r="D20" s="51">
        <v>420</v>
      </c>
      <c r="E20" s="51">
        <v>435</v>
      </c>
      <c r="F20" s="51">
        <v>440</v>
      </c>
      <c r="G20" s="51">
        <v>423</v>
      </c>
      <c r="H20" s="51">
        <v>350</v>
      </c>
      <c r="J20" s="27"/>
      <c r="L20" s="27"/>
      <c r="N20" s="13" t="s">
        <v>55</v>
      </c>
    </row>
    <row r="21" spans="3:15" x14ac:dyDescent="0.25">
      <c r="C21" s="14" t="s">
        <v>58</v>
      </c>
      <c r="D21" s="69">
        <f>D20*D14</f>
        <v>0</v>
      </c>
      <c r="E21" s="69">
        <f>E20*E14</f>
        <v>0</v>
      </c>
      <c r="F21" s="69">
        <f>F20*F14</f>
        <v>0</v>
      </c>
      <c r="G21" s="69">
        <f>G20*G14</f>
        <v>0</v>
      </c>
      <c r="H21" s="69">
        <f>H20*H14</f>
        <v>0</v>
      </c>
      <c r="J21" s="27"/>
      <c r="L21" s="27"/>
      <c r="N21" s="62" t="s">
        <v>56</v>
      </c>
      <c r="O21" s="50">
        <f>SUM(O4:O5)-SUM(D21:H21)</f>
        <v>0</v>
      </c>
    </row>
    <row r="25" spans="3:15" x14ac:dyDescent="0.25">
      <c r="C25" s="13" t="s">
        <v>59</v>
      </c>
      <c r="I25" s="76" t="s">
        <v>62</v>
      </c>
      <c r="J25" s="31" t="s">
        <v>19</v>
      </c>
      <c r="K25" s="16"/>
      <c r="L25" s="31" t="s">
        <v>38</v>
      </c>
      <c r="M25" s="16"/>
      <c r="N25" s="68" t="s">
        <v>21</v>
      </c>
      <c r="O25" s="76" t="s">
        <v>61</v>
      </c>
    </row>
    <row r="26" spans="3:15" x14ac:dyDescent="0.25">
      <c r="I26" s="80" t="s">
        <v>63</v>
      </c>
      <c r="J26" s="19" t="s">
        <v>7</v>
      </c>
      <c r="K26" s="40" t="s">
        <v>8</v>
      </c>
      <c r="L26" s="19" t="s">
        <v>7</v>
      </c>
      <c r="M26" s="40" t="s">
        <v>8</v>
      </c>
      <c r="N26" s="64"/>
      <c r="O26" s="64"/>
    </row>
    <row r="27" spans="3:15" x14ac:dyDescent="0.25">
      <c r="C27" s="21" t="s">
        <v>9</v>
      </c>
      <c r="D27" s="1">
        <v>0.79</v>
      </c>
      <c r="E27" s="2">
        <v>0.68</v>
      </c>
      <c r="F27" s="2">
        <v>0.7</v>
      </c>
      <c r="G27" s="2">
        <v>0.68</v>
      </c>
      <c r="H27" s="2">
        <v>0.79400000000000004</v>
      </c>
      <c r="I27" s="81">
        <f t="shared" ref="I27:I37" si="3">SUMPRODUCT(D$4:H$4,D27:H27)</f>
        <v>0</v>
      </c>
      <c r="J27" s="32">
        <v>0.72</v>
      </c>
      <c r="K27" s="33">
        <v>0.77500000000000002</v>
      </c>
      <c r="L27" s="98">
        <f t="shared" ref="L27:M37" si="4">J27*$J$4</f>
        <v>0</v>
      </c>
      <c r="M27" s="99">
        <f t="shared" si="4"/>
        <v>0</v>
      </c>
      <c r="N27" s="22" t="b">
        <f t="shared" ref="N27:N37" si="5">AND(I27&gt;=L27*(1-$U$3),I27&lt;=M27*(1+$U$3))</f>
        <v>1</v>
      </c>
      <c r="O27" s="77" t="e">
        <f t="shared" ref="O27:O37" si="6">I27/$J$4</f>
        <v>#DIV/0!</v>
      </c>
    </row>
    <row r="28" spans="3:15" x14ac:dyDescent="0.25">
      <c r="C28" s="6" t="s">
        <v>73</v>
      </c>
      <c r="D28" s="4">
        <v>96</v>
      </c>
      <c r="E28" s="5">
        <v>88</v>
      </c>
      <c r="F28" s="5">
        <v>101</v>
      </c>
      <c r="G28" s="5">
        <v>93</v>
      </c>
      <c r="H28" s="5">
        <v>112</v>
      </c>
      <c r="I28" s="82">
        <f t="shared" si="3"/>
        <v>0</v>
      </c>
      <c r="J28" s="34">
        <v>95</v>
      </c>
      <c r="K28" s="35">
        <v>999</v>
      </c>
      <c r="L28" s="100">
        <f t="shared" si="4"/>
        <v>0</v>
      </c>
      <c r="M28" s="101">
        <f t="shared" si="4"/>
        <v>0</v>
      </c>
      <c r="N28" s="23" t="b">
        <f t="shared" si="5"/>
        <v>1</v>
      </c>
      <c r="O28" s="78" t="e">
        <f t="shared" si="6"/>
        <v>#DIV/0!</v>
      </c>
    </row>
    <row r="29" spans="3:15" x14ac:dyDescent="0.25">
      <c r="C29" s="6" t="s">
        <v>10</v>
      </c>
      <c r="D29" s="6">
        <v>30</v>
      </c>
      <c r="E29" s="3">
        <v>70</v>
      </c>
      <c r="F29" s="3">
        <v>40</v>
      </c>
      <c r="G29" s="3">
        <v>70</v>
      </c>
      <c r="H29" s="25">
        <v>150</v>
      </c>
      <c r="I29" s="82">
        <f t="shared" si="3"/>
        <v>0</v>
      </c>
      <c r="J29" s="36">
        <v>45</v>
      </c>
      <c r="K29" s="37">
        <v>60</v>
      </c>
      <c r="L29" s="100">
        <f t="shared" si="4"/>
        <v>0</v>
      </c>
      <c r="M29" s="101">
        <f t="shared" si="4"/>
        <v>0</v>
      </c>
      <c r="N29" s="23" t="b">
        <f t="shared" si="5"/>
        <v>1</v>
      </c>
      <c r="O29" s="78" t="e">
        <f t="shared" si="6"/>
        <v>#DIV/0!</v>
      </c>
    </row>
    <row r="30" spans="3:15" x14ac:dyDescent="0.25">
      <c r="C30" s="6" t="s">
        <v>11</v>
      </c>
      <c r="D30" s="6">
        <v>58</v>
      </c>
      <c r="E30" s="3">
        <v>1.5</v>
      </c>
      <c r="F30" s="3">
        <v>0.1</v>
      </c>
      <c r="G30" s="3">
        <v>1</v>
      </c>
      <c r="H30" s="3">
        <v>0</v>
      </c>
      <c r="I30" s="82">
        <f t="shared" si="3"/>
        <v>0</v>
      </c>
      <c r="J30" s="36">
        <v>0</v>
      </c>
      <c r="K30" s="37">
        <v>35</v>
      </c>
      <c r="L30" s="100">
        <f t="shared" si="4"/>
        <v>0</v>
      </c>
      <c r="M30" s="101">
        <f t="shared" si="4"/>
        <v>0</v>
      </c>
      <c r="N30" s="23" t="b">
        <f t="shared" si="5"/>
        <v>1</v>
      </c>
      <c r="O30" s="78" t="e">
        <f t="shared" si="6"/>
        <v>#DIV/0!</v>
      </c>
    </row>
    <row r="31" spans="3:15" x14ac:dyDescent="0.25">
      <c r="C31" s="6" t="s">
        <v>12</v>
      </c>
      <c r="D31" s="6">
        <v>1.5</v>
      </c>
      <c r="E31" s="3">
        <v>0.1</v>
      </c>
      <c r="F31" s="3">
        <v>0.1</v>
      </c>
      <c r="G31" s="3">
        <v>0.5</v>
      </c>
      <c r="H31" s="3">
        <v>0</v>
      </c>
      <c r="I31" s="82">
        <f t="shared" si="3"/>
        <v>0</v>
      </c>
      <c r="J31" s="36">
        <v>0</v>
      </c>
      <c r="K31" s="37">
        <v>1</v>
      </c>
      <c r="L31" s="100">
        <f t="shared" si="4"/>
        <v>0</v>
      </c>
      <c r="M31" s="101">
        <f t="shared" si="4"/>
        <v>0</v>
      </c>
      <c r="N31" s="23" t="b">
        <f t="shared" si="5"/>
        <v>1</v>
      </c>
      <c r="O31" s="78" t="e">
        <f t="shared" si="6"/>
        <v>#DIV/0!</v>
      </c>
    </row>
    <row r="32" spans="3:15" x14ac:dyDescent="0.25">
      <c r="C32" s="6" t="s">
        <v>13</v>
      </c>
      <c r="D32" s="6">
        <v>0</v>
      </c>
      <c r="E32" s="3">
        <v>0</v>
      </c>
      <c r="F32" s="3">
        <v>0</v>
      </c>
      <c r="G32" s="3">
        <v>0</v>
      </c>
      <c r="H32" s="3">
        <v>100</v>
      </c>
      <c r="I32" s="82">
        <f t="shared" si="3"/>
        <v>0</v>
      </c>
      <c r="J32" s="36">
        <v>0</v>
      </c>
      <c r="K32" s="37">
        <v>10</v>
      </c>
      <c r="L32" s="100">
        <f t="shared" si="4"/>
        <v>0</v>
      </c>
      <c r="M32" s="101">
        <f t="shared" si="4"/>
        <v>0</v>
      </c>
      <c r="N32" s="23" t="b">
        <f t="shared" si="5"/>
        <v>1</v>
      </c>
      <c r="O32" s="78" t="e">
        <f t="shared" si="6"/>
        <v>#DIV/0!</v>
      </c>
    </row>
    <row r="33" spans="3:17" x14ac:dyDescent="0.25">
      <c r="C33" s="85" t="s">
        <v>67</v>
      </c>
      <c r="D33" s="85">
        <v>0</v>
      </c>
      <c r="E33" s="86">
        <v>2</v>
      </c>
      <c r="F33" s="86">
        <v>2</v>
      </c>
      <c r="G33" s="86">
        <v>50</v>
      </c>
      <c r="H33" s="86">
        <v>0</v>
      </c>
      <c r="I33" s="87">
        <f>SUMPRODUCT(D$9:H$9,D33:H33)</f>
        <v>0</v>
      </c>
      <c r="J33" s="89">
        <v>0</v>
      </c>
      <c r="K33" s="90">
        <v>10</v>
      </c>
      <c r="L33" s="102">
        <f t="shared" ref="L33:M33" si="7">J33*$J$9</f>
        <v>0</v>
      </c>
      <c r="M33" s="97">
        <f t="shared" si="7"/>
        <v>0</v>
      </c>
      <c r="N33" s="23" t="b">
        <f t="shared" si="5"/>
        <v>1</v>
      </c>
      <c r="O33" s="88" t="e">
        <f t="shared" ref="O33:O34" si="8">I33/$J$9</f>
        <v>#DIV/0!</v>
      </c>
      <c r="Q33" s="96"/>
    </row>
    <row r="34" spans="3:17" x14ac:dyDescent="0.25">
      <c r="C34" s="85" t="s">
        <v>68</v>
      </c>
      <c r="D34" s="85">
        <v>0</v>
      </c>
      <c r="E34" s="86">
        <v>0</v>
      </c>
      <c r="F34" s="86">
        <v>0</v>
      </c>
      <c r="G34" s="86">
        <v>0</v>
      </c>
      <c r="H34" s="86">
        <v>34.799999999999997</v>
      </c>
      <c r="I34" s="87">
        <f>SUMPRODUCT(D$9:H$9,D34:H34)</f>
        <v>0</v>
      </c>
      <c r="J34" s="89">
        <v>0</v>
      </c>
      <c r="K34" s="90">
        <v>3.7</v>
      </c>
      <c r="L34" s="102">
        <f t="shared" ref="L34" si="9">J34*$J$9</f>
        <v>0</v>
      </c>
      <c r="M34" s="97">
        <f t="shared" ref="M34" si="10">K34*$J$9</f>
        <v>0</v>
      </c>
      <c r="N34" s="23" t="b">
        <f t="shared" si="5"/>
        <v>1</v>
      </c>
      <c r="O34" s="88" t="e">
        <f t="shared" si="8"/>
        <v>#DIV/0!</v>
      </c>
    </row>
    <row r="35" spans="3:17" x14ac:dyDescent="0.25">
      <c r="C35" s="6" t="s">
        <v>14</v>
      </c>
      <c r="D35" s="6">
        <v>4</v>
      </c>
      <c r="E35" s="3">
        <v>80</v>
      </c>
      <c r="F35" s="3">
        <v>8</v>
      </c>
      <c r="G35" s="3">
        <v>70</v>
      </c>
      <c r="H35" s="25">
        <v>180</v>
      </c>
      <c r="I35" s="82">
        <f t="shared" si="3"/>
        <v>0</v>
      </c>
      <c r="J35" s="36">
        <v>20</v>
      </c>
      <c r="K35" s="37">
        <v>48</v>
      </c>
      <c r="L35" s="100">
        <f t="shared" si="4"/>
        <v>0</v>
      </c>
      <c r="M35" s="101">
        <f t="shared" si="4"/>
        <v>0</v>
      </c>
      <c r="N35" s="23" t="b">
        <f t="shared" si="5"/>
        <v>1</v>
      </c>
      <c r="O35" s="78" t="e">
        <f t="shared" si="6"/>
        <v>#DIV/0!</v>
      </c>
    </row>
    <row r="36" spans="3:17" x14ac:dyDescent="0.25">
      <c r="C36" s="6" t="s">
        <v>15</v>
      </c>
      <c r="D36" s="6">
        <v>25</v>
      </c>
      <c r="E36" s="3">
        <v>95</v>
      </c>
      <c r="F36" s="3">
        <v>30</v>
      </c>
      <c r="G36" s="3">
        <v>90</v>
      </c>
      <c r="H36" s="25">
        <v>110</v>
      </c>
      <c r="I36" s="82">
        <f t="shared" si="3"/>
        <v>0</v>
      </c>
      <c r="J36" s="36">
        <v>46</v>
      </c>
      <c r="K36" s="37">
        <v>71</v>
      </c>
      <c r="L36" s="100">
        <f t="shared" si="4"/>
        <v>0</v>
      </c>
      <c r="M36" s="101">
        <f t="shared" si="4"/>
        <v>0</v>
      </c>
      <c r="N36" s="23" t="b">
        <f t="shared" si="5"/>
        <v>1</v>
      </c>
      <c r="O36" s="78" t="e">
        <f t="shared" si="6"/>
        <v>#DIV/0!</v>
      </c>
    </row>
    <row r="37" spans="3:17" x14ac:dyDescent="0.25">
      <c r="C37" s="8" t="s">
        <v>16</v>
      </c>
      <c r="D37" s="8">
        <v>95</v>
      </c>
      <c r="E37" s="7">
        <v>99</v>
      </c>
      <c r="F37" s="7">
        <v>94</v>
      </c>
      <c r="G37" s="7">
        <v>100</v>
      </c>
      <c r="H37" s="7">
        <v>100</v>
      </c>
      <c r="I37" s="83">
        <f t="shared" si="3"/>
        <v>0</v>
      </c>
      <c r="J37" s="38">
        <v>75</v>
      </c>
      <c r="K37" s="39">
        <v>100</v>
      </c>
      <c r="L37" s="103">
        <f t="shared" si="4"/>
        <v>0</v>
      </c>
      <c r="M37" s="104">
        <f t="shared" si="4"/>
        <v>0</v>
      </c>
      <c r="N37" s="24" t="b">
        <f t="shared" si="5"/>
        <v>1</v>
      </c>
      <c r="O37" s="79" t="e">
        <f t="shared" si="6"/>
        <v>#DIV/0!</v>
      </c>
    </row>
    <row r="38" spans="3:17" x14ac:dyDescent="0.25">
      <c r="H38" s="26" t="s">
        <v>23</v>
      </c>
    </row>
    <row r="39" spans="3:17" x14ac:dyDescent="0.25">
      <c r="H39" s="26" t="s">
        <v>66</v>
      </c>
    </row>
    <row r="41" spans="3:17" x14ac:dyDescent="0.25">
      <c r="C41" s="13" t="s">
        <v>60</v>
      </c>
      <c r="I41" s="76" t="s">
        <v>62</v>
      </c>
      <c r="J41" s="31" t="s">
        <v>19</v>
      </c>
      <c r="K41" s="16"/>
      <c r="L41" s="31" t="s">
        <v>38</v>
      </c>
      <c r="M41" s="16"/>
      <c r="N41" s="68" t="s">
        <v>21</v>
      </c>
      <c r="O41" s="76" t="s">
        <v>61</v>
      </c>
    </row>
    <row r="42" spans="3:17" x14ac:dyDescent="0.25">
      <c r="I42" s="80" t="s">
        <v>63</v>
      </c>
      <c r="J42" s="19" t="s">
        <v>7</v>
      </c>
      <c r="K42" s="40" t="s">
        <v>8</v>
      </c>
      <c r="L42" s="19" t="s">
        <v>7</v>
      </c>
      <c r="M42" s="40" t="s">
        <v>8</v>
      </c>
      <c r="N42" s="64"/>
      <c r="O42" s="64"/>
    </row>
    <row r="43" spans="3:17" x14ac:dyDescent="0.25">
      <c r="C43" s="21" t="s">
        <v>9</v>
      </c>
      <c r="D43" s="1">
        <v>0.79</v>
      </c>
      <c r="E43" s="2">
        <v>0.68</v>
      </c>
      <c r="F43" s="2">
        <v>0.7</v>
      </c>
      <c r="G43" s="2">
        <v>0.68</v>
      </c>
      <c r="H43" s="2">
        <v>0.79400000000000004</v>
      </c>
      <c r="I43" s="81">
        <f t="shared" ref="I43:I53" si="11">SUMPRODUCT(D$5:H$5,D43:H43)</f>
        <v>0</v>
      </c>
      <c r="J43" s="32">
        <v>0.72</v>
      </c>
      <c r="K43" s="33">
        <v>0.77500000000000002</v>
      </c>
      <c r="L43" s="55">
        <f t="shared" ref="L43:M53" si="12">J43*$J$5</f>
        <v>0</v>
      </c>
      <c r="M43" s="56">
        <f t="shared" si="12"/>
        <v>0</v>
      </c>
      <c r="N43" s="22" t="b">
        <f t="shared" ref="N43:N53" si="13">AND(I43&gt;=L43*(1-$U$3),I43&lt;=M43*(1+$U$3))</f>
        <v>1</v>
      </c>
      <c r="O43" s="77" t="e">
        <f t="shared" ref="O43:O53" si="14">I43/$J$5</f>
        <v>#DIV/0!</v>
      </c>
    </row>
    <row r="44" spans="3:17" x14ac:dyDescent="0.25">
      <c r="C44" s="6" t="s">
        <v>73</v>
      </c>
      <c r="D44" s="4">
        <v>96</v>
      </c>
      <c r="E44" s="5">
        <v>88</v>
      </c>
      <c r="F44" s="5">
        <v>101</v>
      </c>
      <c r="G44" s="5">
        <v>93</v>
      </c>
      <c r="H44" s="5">
        <v>112</v>
      </c>
      <c r="I44" s="82">
        <f t="shared" si="11"/>
        <v>0</v>
      </c>
      <c r="J44" s="34">
        <v>95</v>
      </c>
      <c r="K44" s="35">
        <v>999</v>
      </c>
      <c r="L44" s="57">
        <f t="shared" si="12"/>
        <v>0</v>
      </c>
      <c r="M44" s="58">
        <f t="shared" si="12"/>
        <v>0</v>
      </c>
      <c r="N44" s="23" t="b">
        <f t="shared" si="13"/>
        <v>1</v>
      </c>
      <c r="O44" s="78" t="e">
        <f t="shared" si="14"/>
        <v>#DIV/0!</v>
      </c>
    </row>
    <row r="45" spans="3:17" x14ac:dyDescent="0.25">
      <c r="C45" s="6" t="s">
        <v>10</v>
      </c>
      <c r="D45" s="6">
        <v>30</v>
      </c>
      <c r="E45" s="3">
        <v>70</v>
      </c>
      <c r="F45" s="3">
        <v>40</v>
      </c>
      <c r="G45" s="3">
        <v>70</v>
      </c>
      <c r="H45" s="25">
        <v>150</v>
      </c>
      <c r="I45" s="82">
        <f t="shared" si="11"/>
        <v>0</v>
      </c>
      <c r="J45" s="36">
        <v>45</v>
      </c>
      <c r="K45" s="37">
        <v>60</v>
      </c>
      <c r="L45" s="57">
        <f t="shared" si="12"/>
        <v>0</v>
      </c>
      <c r="M45" s="58">
        <f t="shared" si="12"/>
        <v>0</v>
      </c>
      <c r="N45" s="23" t="b">
        <f t="shared" si="13"/>
        <v>1</v>
      </c>
      <c r="O45" s="78" t="e">
        <f t="shared" si="14"/>
        <v>#DIV/0!</v>
      </c>
    </row>
    <row r="46" spans="3:17" x14ac:dyDescent="0.25">
      <c r="C46" s="6" t="s">
        <v>11</v>
      </c>
      <c r="D46" s="6">
        <v>58</v>
      </c>
      <c r="E46" s="3">
        <v>1.5</v>
      </c>
      <c r="F46" s="3">
        <v>0.1</v>
      </c>
      <c r="G46" s="3">
        <v>1</v>
      </c>
      <c r="H46" s="3">
        <v>0</v>
      </c>
      <c r="I46" s="82">
        <f t="shared" si="11"/>
        <v>0</v>
      </c>
      <c r="J46" s="36">
        <v>0</v>
      </c>
      <c r="K46" s="37">
        <v>35</v>
      </c>
      <c r="L46" s="57">
        <f t="shared" si="12"/>
        <v>0</v>
      </c>
      <c r="M46" s="58">
        <f t="shared" si="12"/>
        <v>0</v>
      </c>
      <c r="N46" s="23" t="b">
        <f t="shared" si="13"/>
        <v>1</v>
      </c>
      <c r="O46" s="78" t="e">
        <f t="shared" si="14"/>
        <v>#DIV/0!</v>
      </c>
    </row>
    <row r="47" spans="3:17" x14ac:dyDescent="0.25">
      <c r="C47" s="6" t="s">
        <v>12</v>
      </c>
      <c r="D47" s="6">
        <v>1.5</v>
      </c>
      <c r="E47" s="3">
        <v>0.1</v>
      </c>
      <c r="F47" s="3">
        <v>0.1</v>
      </c>
      <c r="G47" s="3">
        <v>0.5</v>
      </c>
      <c r="H47" s="3">
        <v>0</v>
      </c>
      <c r="I47" s="82">
        <f t="shared" si="11"/>
        <v>0</v>
      </c>
      <c r="J47" s="36">
        <v>0</v>
      </c>
      <c r="K47" s="37">
        <v>1</v>
      </c>
      <c r="L47" s="57">
        <f t="shared" si="12"/>
        <v>0</v>
      </c>
      <c r="M47" s="58">
        <f t="shared" si="12"/>
        <v>0</v>
      </c>
      <c r="N47" s="23" t="b">
        <f t="shared" si="13"/>
        <v>1</v>
      </c>
      <c r="O47" s="78" t="e">
        <f t="shared" si="14"/>
        <v>#DIV/0!</v>
      </c>
    </row>
    <row r="48" spans="3:17" x14ac:dyDescent="0.25">
      <c r="C48" s="6" t="s">
        <v>13</v>
      </c>
      <c r="D48" s="6">
        <v>0</v>
      </c>
      <c r="E48" s="3">
        <v>0</v>
      </c>
      <c r="F48" s="3">
        <v>0</v>
      </c>
      <c r="G48" s="3">
        <v>0</v>
      </c>
      <c r="H48" s="3">
        <v>100</v>
      </c>
      <c r="I48" s="82">
        <f t="shared" si="11"/>
        <v>0</v>
      </c>
      <c r="J48" s="36">
        <v>0</v>
      </c>
      <c r="K48" s="37">
        <v>5</v>
      </c>
      <c r="L48" s="57">
        <f t="shared" si="12"/>
        <v>0</v>
      </c>
      <c r="M48" s="58">
        <f t="shared" si="12"/>
        <v>0</v>
      </c>
      <c r="N48" s="23" t="b">
        <f t="shared" si="13"/>
        <v>1</v>
      </c>
      <c r="O48" s="78" t="e">
        <f t="shared" si="14"/>
        <v>#DIV/0!</v>
      </c>
    </row>
    <row r="49" spans="3:15" x14ac:dyDescent="0.25">
      <c r="C49" s="85" t="s">
        <v>67</v>
      </c>
      <c r="D49" s="85">
        <v>0</v>
      </c>
      <c r="E49" s="86">
        <v>2</v>
      </c>
      <c r="F49" s="86">
        <v>2</v>
      </c>
      <c r="G49" s="86">
        <v>50</v>
      </c>
      <c r="H49" s="86">
        <v>0</v>
      </c>
      <c r="I49" s="87">
        <f t="shared" ref="I49:I50" si="15">SUMPRODUCT(D$10:H$10,D49:H49)</f>
        <v>0</v>
      </c>
      <c r="J49" s="89">
        <v>0</v>
      </c>
      <c r="K49" s="90">
        <v>10</v>
      </c>
      <c r="L49" s="91">
        <f t="shared" ref="L49:M50" si="16">J49*$J$10</f>
        <v>0</v>
      </c>
      <c r="M49" s="92">
        <f t="shared" si="16"/>
        <v>0</v>
      </c>
      <c r="N49" s="23" t="b">
        <f t="shared" si="13"/>
        <v>1</v>
      </c>
      <c r="O49" s="88" t="e">
        <f t="shared" ref="O49:O50" si="17">I49/$J$10</f>
        <v>#DIV/0!</v>
      </c>
    </row>
    <row r="50" spans="3:15" x14ac:dyDescent="0.25">
      <c r="C50" s="85" t="s">
        <v>68</v>
      </c>
      <c r="D50" s="85">
        <v>0</v>
      </c>
      <c r="E50" s="86">
        <v>0</v>
      </c>
      <c r="F50" s="86">
        <v>0</v>
      </c>
      <c r="G50" s="86">
        <v>0</v>
      </c>
      <c r="H50" s="86">
        <v>34.799999999999997</v>
      </c>
      <c r="I50" s="87">
        <f t="shared" si="15"/>
        <v>0</v>
      </c>
      <c r="J50" s="89">
        <v>0</v>
      </c>
      <c r="K50" s="90">
        <v>2.7</v>
      </c>
      <c r="L50" s="91">
        <f t="shared" si="16"/>
        <v>0</v>
      </c>
      <c r="M50" s="92">
        <f t="shared" si="16"/>
        <v>0</v>
      </c>
      <c r="N50" s="23" t="b">
        <f t="shared" si="13"/>
        <v>1</v>
      </c>
      <c r="O50" s="88" t="e">
        <f t="shared" si="17"/>
        <v>#DIV/0!</v>
      </c>
    </row>
    <row r="51" spans="3:15" x14ac:dyDescent="0.25">
      <c r="C51" s="6" t="s">
        <v>14</v>
      </c>
      <c r="D51" s="6">
        <v>4</v>
      </c>
      <c r="E51" s="3">
        <v>80</v>
      </c>
      <c r="F51" s="3">
        <v>8</v>
      </c>
      <c r="G51" s="3">
        <v>70</v>
      </c>
      <c r="H51" s="25">
        <v>180</v>
      </c>
      <c r="I51" s="82">
        <f t="shared" si="11"/>
        <v>0</v>
      </c>
      <c r="J51" s="36">
        <v>20</v>
      </c>
      <c r="K51" s="37">
        <v>48</v>
      </c>
      <c r="L51" s="57">
        <f t="shared" si="12"/>
        <v>0</v>
      </c>
      <c r="M51" s="58">
        <f t="shared" si="12"/>
        <v>0</v>
      </c>
      <c r="N51" s="23" t="b">
        <f t="shared" si="13"/>
        <v>1</v>
      </c>
      <c r="O51" s="78" t="e">
        <f t="shared" si="14"/>
        <v>#DIV/0!</v>
      </c>
    </row>
    <row r="52" spans="3:15" x14ac:dyDescent="0.25">
      <c r="C52" s="6" t="s">
        <v>15</v>
      </c>
      <c r="D52" s="6">
        <v>25</v>
      </c>
      <c r="E52" s="3">
        <v>95</v>
      </c>
      <c r="F52" s="3">
        <v>30</v>
      </c>
      <c r="G52" s="3">
        <v>90</v>
      </c>
      <c r="H52" s="25">
        <v>110</v>
      </c>
      <c r="I52" s="82">
        <f t="shared" si="11"/>
        <v>0</v>
      </c>
      <c r="J52" s="36">
        <v>46</v>
      </c>
      <c r="K52" s="37">
        <v>71</v>
      </c>
      <c r="L52" s="57">
        <f t="shared" si="12"/>
        <v>0</v>
      </c>
      <c r="M52" s="58">
        <f t="shared" si="12"/>
        <v>0</v>
      </c>
      <c r="N52" s="23" t="b">
        <f t="shared" si="13"/>
        <v>1</v>
      </c>
      <c r="O52" s="78" t="e">
        <f t="shared" si="14"/>
        <v>#DIV/0!</v>
      </c>
    </row>
    <row r="53" spans="3:15" x14ac:dyDescent="0.25">
      <c r="C53" s="8" t="s">
        <v>16</v>
      </c>
      <c r="D53" s="8">
        <v>95</v>
      </c>
      <c r="E53" s="7">
        <v>99</v>
      </c>
      <c r="F53" s="7">
        <v>94</v>
      </c>
      <c r="G53" s="7">
        <v>100</v>
      </c>
      <c r="H53" s="7">
        <v>100</v>
      </c>
      <c r="I53" s="83">
        <f t="shared" si="11"/>
        <v>0</v>
      </c>
      <c r="J53" s="38">
        <v>75</v>
      </c>
      <c r="K53" s="39">
        <v>100</v>
      </c>
      <c r="L53" s="59">
        <f t="shared" si="12"/>
        <v>0</v>
      </c>
      <c r="M53" s="60">
        <f t="shared" si="12"/>
        <v>0</v>
      </c>
      <c r="N53" s="24" t="b">
        <f t="shared" si="13"/>
        <v>1</v>
      </c>
      <c r="O53" s="79" t="e">
        <f t="shared" si="14"/>
        <v>#DIV/0!</v>
      </c>
    </row>
    <row r="54" spans="3:15" x14ac:dyDescent="0.25">
      <c r="H54" s="26" t="s">
        <v>23</v>
      </c>
    </row>
    <row r="55" spans="3:15" x14ac:dyDescent="0.25">
      <c r="H55" s="26" t="s">
        <v>66</v>
      </c>
    </row>
  </sheetData>
  <mergeCells count="2">
    <mergeCell ref="B2:C3"/>
    <mergeCell ref="B4:B5"/>
  </mergeCells>
  <conditionalFormatting sqref="N27:N37">
    <cfRule type="cellIs" dxfId="51" priority="8" operator="equal">
      <formula>FALSE</formula>
    </cfRule>
  </conditionalFormatting>
  <conditionalFormatting sqref="L4:L5">
    <cfRule type="cellIs" dxfId="50" priority="7" operator="equal">
      <formula>FALSE</formula>
    </cfRule>
  </conditionalFormatting>
  <conditionalFormatting sqref="D16:H16">
    <cfRule type="cellIs" dxfId="49" priority="6" operator="equal">
      <formula>FALSE</formula>
    </cfRule>
  </conditionalFormatting>
  <conditionalFormatting sqref="N43:N53">
    <cfRule type="cellIs" dxfId="48" priority="1" operator="equal">
      <formula>FALSE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7"/>
  <sheetViews>
    <sheetView showGridLines="0" tabSelected="1" zoomScale="85" zoomScaleNormal="85" workbookViewId="0">
      <selection activeCell="I6" sqref="I6"/>
    </sheetView>
  </sheetViews>
  <sheetFormatPr defaultRowHeight="15" x14ac:dyDescent="0.25"/>
  <cols>
    <col min="1" max="1" width="1.7109375" customWidth="1"/>
    <col min="2" max="2" width="3.7109375" bestFit="1" customWidth="1"/>
    <col min="3" max="3" width="23.42578125" bestFit="1" customWidth="1"/>
    <col min="4" max="4" width="15.7109375" bestFit="1" customWidth="1"/>
    <col min="5" max="5" width="16.140625" bestFit="1" customWidth="1"/>
    <col min="6" max="8" width="12.7109375" customWidth="1"/>
    <col min="9" max="9" width="10.140625" bestFit="1" customWidth="1"/>
    <col min="10" max="10" width="12.7109375" customWidth="1"/>
    <col min="11" max="11" width="10.140625" bestFit="1" customWidth="1"/>
    <col min="12" max="12" width="16.28515625" bestFit="1" customWidth="1"/>
    <col min="13" max="13" width="14.85546875" bestFit="1" customWidth="1"/>
    <col min="14" max="14" width="14.85546875" customWidth="1"/>
    <col min="15" max="15" width="14.42578125" bestFit="1" customWidth="1"/>
    <col min="16" max="16" width="16.7109375" bestFit="1" customWidth="1"/>
    <col min="17" max="17" width="16.85546875" bestFit="1" customWidth="1"/>
    <col min="18" max="18" width="17.42578125" bestFit="1" customWidth="1"/>
    <col min="19" max="19" width="9.5703125" bestFit="1" customWidth="1"/>
    <col min="20" max="20" width="21.28515625" customWidth="1"/>
    <col min="21" max="21" width="9.85546875" bestFit="1" customWidth="1"/>
  </cols>
  <sheetData>
    <row r="1" spans="2:27" ht="9" customHeight="1" x14ac:dyDescent="0.25"/>
    <row r="2" spans="2:27" x14ac:dyDescent="0.25">
      <c r="B2" s="214" t="s">
        <v>83</v>
      </c>
      <c r="C2" s="215"/>
      <c r="D2" s="15"/>
      <c r="E2" s="16"/>
      <c r="F2" s="17" t="s">
        <v>0</v>
      </c>
      <c r="G2" s="16"/>
      <c r="H2" s="18"/>
      <c r="L2" s="67" t="s">
        <v>48</v>
      </c>
      <c r="P2" s="13" t="s">
        <v>53</v>
      </c>
      <c r="W2" s="13" t="s">
        <v>30</v>
      </c>
    </row>
    <row r="3" spans="2:27" x14ac:dyDescent="0.25">
      <c r="B3" s="216"/>
      <c r="C3" s="217"/>
      <c r="D3" s="9" t="s">
        <v>78</v>
      </c>
      <c r="E3" s="10" t="s">
        <v>79</v>
      </c>
      <c r="F3" s="10" t="s">
        <v>80</v>
      </c>
      <c r="G3" s="10" t="s">
        <v>81</v>
      </c>
      <c r="H3" s="11" t="s">
        <v>106</v>
      </c>
      <c r="L3" s="63" t="s">
        <v>70</v>
      </c>
      <c r="M3" s="63" t="s">
        <v>84</v>
      </c>
      <c r="N3" s="63" t="s">
        <v>43</v>
      </c>
      <c r="P3" s="63" t="s">
        <v>85</v>
      </c>
      <c r="Q3" s="63" t="s">
        <v>52</v>
      </c>
      <c r="W3" t="s">
        <v>71</v>
      </c>
      <c r="Z3" s="105">
        <v>9.9999999999999995E-7</v>
      </c>
      <c r="AA3" t="s">
        <v>72</v>
      </c>
    </row>
    <row r="4" spans="2:27" ht="18" customHeight="1" x14ac:dyDescent="0.25">
      <c r="B4" s="212" t="s">
        <v>44</v>
      </c>
      <c r="C4" s="65" t="s">
        <v>75</v>
      </c>
      <c r="D4" s="74"/>
      <c r="E4" s="75"/>
      <c r="F4" s="75"/>
      <c r="G4" s="75"/>
      <c r="H4" s="75"/>
      <c r="L4" s="69">
        <f>SUM(D4:H4)</f>
        <v>0</v>
      </c>
      <c r="M4" s="51">
        <v>2000</v>
      </c>
      <c r="N4" s="22" t="b">
        <f t="shared" ref="N4:N6" si="0">L4&lt;=M4*(1+$Z$3)</f>
        <v>1</v>
      </c>
      <c r="P4" s="51">
        <v>240</v>
      </c>
      <c r="Q4" s="69">
        <f>P4*L4</f>
        <v>0</v>
      </c>
    </row>
    <row r="5" spans="2:27" ht="18" customHeight="1" x14ac:dyDescent="0.25">
      <c r="B5" s="218"/>
      <c r="C5" s="119" t="s">
        <v>76</v>
      </c>
      <c r="D5" s="74"/>
      <c r="E5" s="75"/>
      <c r="F5" s="75"/>
      <c r="G5" s="75"/>
      <c r="H5" s="75"/>
      <c r="L5" s="69">
        <f>SUM(D5:H5)</f>
        <v>0</v>
      </c>
      <c r="M5" s="51">
        <v>1000</v>
      </c>
      <c r="N5" s="22" t="b">
        <f t="shared" si="0"/>
        <v>1</v>
      </c>
      <c r="P5" s="51">
        <v>220</v>
      </c>
      <c r="Q5" s="69">
        <f>P5*L5</f>
        <v>0</v>
      </c>
    </row>
    <row r="6" spans="2:27" ht="18" customHeight="1" x14ac:dyDescent="0.25">
      <c r="B6" s="213"/>
      <c r="C6" s="66" t="s">
        <v>77</v>
      </c>
      <c r="D6" s="74"/>
      <c r="E6" s="75"/>
      <c r="F6" s="75"/>
      <c r="G6" s="75"/>
      <c r="H6" s="75"/>
      <c r="L6" s="69">
        <f>SUM(D6:H6)</f>
        <v>0</v>
      </c>
      <c r="M6" s="51">
        <v>4000</v>
      </c>
      <c r="N6" s="28" t="b">
        <f t="shared" si="0"/>
        <v>1</v>
      </c>
      <c r="P6" s="51">
        <v>160</v>
      </c>
      <c r="Q6" s="69">
        <f>P6*L6</f>
        <v>0</v>
      </c>
    </row>
    <row r="8" spans="2:27" x14ac:dyDescent="0.25">
      <c r="C8" s="67" t="s">
        <v>49</v>
      </c>
    </row>
    <row r="9" spans="2:27" ht="15" customHeight="1" x14ac:dyDescent="0.25">
      <c r="C9" s="61" t="s">
        <v>65</v>
      </c>
      <c r="D9" s="69">
        <f>SUM(D4:D6)</f>
        <v>0</v>
      </c>
      <c r="E9" s="69">
        <f>SUM(E4:E6)</f>
        <v>0</v>
      </c>
      <c r="F9" s="69">
        <f>SUM(F4:F6)</f>
        <v>0</v>
      </c>
      <c r="G9" s="69">
        <f>SUM(G4:G6)</f>
        <v>0</v>
      </c>
      <c r="H9" s="69">
        <f>SUM(H4:H6)</f>
        <v>0</v>
      </c>
    </row>
    <row r="10" spans="2:27" ht="15" customHeight="1" x14ac:dyDescent="0.25">
      <c r="C10" s="61" t="s">
        <v>82</v>
      </c>
      <c r="D10" s="51">
        <v>2000</v>
      </c>
      <c r="E10" s="51">
        <v>2000</v>
      </c>
      <c r="F10" s="51">
        <v>1000</v>
      </c>
      <c r="G10" s="51">
        <v>1000</v>
      </c>
      <c r="H10" s="51">
        <v>200</v>
      </c>
    </row>
    <row r="11" spans="2:27" ht="15" customHeight="1" x14ac:dyDescent="0.25">
      <c r="C11" s="61" t="s">
        <v>43</v>
      </c>
      <c r="D11" s="28" t="b">
        <f t="shared" ref="D11:H11" si="1">D9&lt;=D10*(1+$Z$3)</f>
        <v>1</v>
      </c>
      <c r="E11" s="28" t="b">
        <f t="shared" si="1"/>
        <v>1</v>
      </c>
      <c r="F11" s="28" t="b">
        <f t="shared" si="1"/>
        <v>1</v>
      </c>
      <c r="G11" s="28" t="b">
        <f t="shared" si="1"/>
        <v>1</v>
      </c>
      <c r="H11" s="28" t="b">
        <f t="shared" si="1"/>
        <v>1</v>
      </c>
    </row>
    <row r="12" spans="2:27" ht="15" customHeight="1" x14ac:dyDescent="0.25"/>
    <row r="13" spans="2:27" ht="15" customHeight="1" x14ac:dyDescent="0.25">
      <c r="C13" s="13" t="s">
        <v>54</v>
      </c>
    </row>
    <row r="14" spans="2:27" ht="15" customHeight="1" x14ac:dyDescent="0.25">
      <c r="C14" s="14" t="s">
        <v>57</v>
      </c>
      <c r="D14" s="51">
        <v>160</v>
      </c>
      <c r="E14" s="51">
        <v>140</v>
      </c>
      <c r="F14" s="51">
        <v>260</v>
      </c>
      <c r="G14" s="51">
        <v>190</v>
      </c>
      <c r="H14" s="51">
        <v>260</v>
      </c>
      <c r="P14" s="13" t="s">
        <v>102</v>
      </c>
      <c r="T14" s="13" t="s">
        <v>101</v>
      </c>
    </row>
    <row r="15" spans="2:27" x14ac:dyDescent="0.25">
      <c r="C15" s="14" t="s">
        <v>58</v>
      </c>
      <c r="D15" s="69">
        <f t="shared" ref="D15:H15" si="2">D14*D9</f>
        <v>0</v>
      </c>
      <c r="E15" s="69">
        <f t="shared" si="2"/>
        <v>0</v>
      </c>
      <c r="F15" s="69">
        <f t="shared" si="2"/>
        <v>0</v>
      </c>
      <c r="G15" s="69">
        <f t="shared" si="2"/>
        <v>0</v>
      </c>
      <c r="H15" s="69">
        <f t="shared" si="2"/>
        <v>0</v>
      </c>
      <c r="P15" s="62" t="s">
        <v>56</v>
      </c>
      <c r="Q15" s="69">
        <f>SUM(Q4:Q6)-SUM(D15:H15)</f>
        <v>0</v>
      </c>
      <c r="T15" s="62" t="s">
        <v>56</v>
      </c>
      <c r="U15" s="50">
        <f>Q15-U37</f>
        <v>0</v>
      </c>
    </row>
    <row r="19" spans="3:21" x14ac:dyDescent="0.25">
      <c r="C19" s="13" t="s">
        <v>87</v>
      </c>
      <c r="I19" s="76" t="s">
        <v>62</v>
      </c>
      <c r="J19" s="123" t="s">
        <v>91</v>
      </c>
      <c r="K19" s="76" t="s">
        <v>94</v>
      </c>
      <c r="L19" s="135" t="s">
        <v>8</v>
      </c>
      <c r="M19" s="136" t="s">
        <v>8</v>
      </c>
      <c r="N19" s="68" t="s">
        <v>21</v>
      </c>
      <c r="O19" s="76" t="s">
        <v>61</v>
      </c>
      <c r="Q19" s="129" t="s">
        <v>95</v>
      </c>
      <c r="R19" s="129" t="s">
        <v>96</v>
      </c>
      <c r="S19" s="68" t="s">
        <v>98</v>
      </c>
      <c r="T19" s="131" t="s">
        <v>99</v>
      </c>
      <c r="U19" s="131" t="s">
        <v>100</v>
      </c>
    </row>
    <row r="20" spans="3:21" x14ac:dyDescent="0.25">
      <c r="I20" s="80" t="s">
        <v>63</v>
      </c>
      <c r="J20" s="124" t="s">
        <v>93</v>
      </c>
      <c r="K20" s="127" t="s">
        <v>92</v>
      </c>
      <c r="L20" s="126"/>
      <c r="M20" s="137" t="s">
        <v>104</v>
      </c>
      <c r="N20" s="64"/>
      <c r="O20" s="64"/>
      <c r="Q20" s="130" t="s">
        <v>93</v>
      </c>
      <c r="R20" s="130" t="s">
        <v>97</v>
      </c>
      <c r="S20" s="64"/>
      <c r="T20" s="132"/>
      <c r="U20" s="64"/>
    </row>
    <row r="21" spans="3:21" x14ac:dyDescent="0.25">
      <c r="C21" s="21" t="s">
        <v>105</v>
      </c>
      <c r="D21" s="120">
        <v>0.6</v>
      </c>
      <c r="E21" s="121">
        <v>3.2</v>
      </c>
      <c r="F21" s="121">
        <v>0.3</v>
      </c>
      <c r="G21" s="121">
        <v>1.8</v>
      </c>
      <c r="H21" s="121">
        <v>0.1</v>
      </c>
      <c r="I21" s="81">
        <f t="shared" ref="I21:I22" si="3">SUMPRODUCT(D$4:H$4,D21:H21)</f>
        <v>0</v>
      </c>
      <c r="J21" s="125"/>
      <c r="K21" s="128">
        <f>I21-J21</f>
        <v>0</v>
      </c>
      <c r="L21" s="139">
        <v>0.5</v>
      </c>
      <c r="M21" s="56">
        <f>L21*$L$4</f>
        <v>0</v>
      </c>
      <c r="N21" s="22" t="b">
        <f t="shared" ref="N21:N22" si="4">K21&lt;=M21*(1+$Z$3)</f>
        <v>1</v>
      </c>
      <c r="O21" s="138" t="e">
        <f>I21/$L$4</f>
        <v>#DIV/0!</v>
      </c>
      <c r="Q21" s="98">
        <v>0.2</v>
      </c>
      <c r="R21" s="77">
        <f t="shared" ref="R21:R22" si="5">Q21*$L$4</f>
        <v>0</v>
      </c>
      <c r="S21" s="22" t="b">
        <f t="shared" ref="S21:S22" si="6">J21&lt;=R21*(1+$Z$3)</f>
        <v>1</v>
      </c>
      <c r="T21" s="133">
        <v>80</v>
      </c>
      <c r="U21" s="128">
        <f>T21*J21</f>
        <v>0</v>
      </c>
    </row>
    <row r="22" spans="3:21" x14ac:dyDescent="0.25">
      <c r="C22" s="8" t="s">
        <v>89</v>
      </c>
      <c r="D22" s="8">
        <v>38.700000000000003</v>
      </c>
      <c r="E22" s="7">
        <v>40</v>
      </c>
      <c r="F22" s="7">
        <v>22.3</v>
      </c>
      <c r="G22" s="7">
        <v>22.6</v>
      </c>
      <c r="H22" s="7">
        <v>19.2</v>
      </c>
      <c r="I22" s="83">
        <f t="shared" si="3"/>
        <v>0</v>
      </c>
      <c r="J22" s="125"/>
      <c r="K22" s="79">
        <f>I22-J22</f>
        <v>0</v>
      </c>
      <c r="L22" s="39">
        <v>36.9</v>
      </c>
      <c r="M22" s="60">
        <f>L22*$L$4</f>
        <v>0</v>
      </c>
      <c r="N22" s="24" t="b">
        <f t="shared" si="4"/>
        <v>1</v>
      </c>
      <c r="O22" s="79" t="e">
        <f>I22/$L$4</f>
        <v>#DIV/0!</v>
      </c>
      <c r="Q22" s="59">
        <v>0</v>
      </c>
      <c r="R22" s="79">
        <f t="shared" si="5"/>
        <v>0</v>
      </c>
      <c r="S22" s="24" t="b">
        <f t="shared" si="6"/>
        <v>1</v>
      </c>
      <c r="T22" s="134">
        <v>0</v>
      </c>
      <c r="U22" s="95">
        <f>T22*J22</f>
        <v>0</v>
      </c>
    </row>
    <row r="23" spans="3:21" x14ac:dyDescent="0.25">
      <c r="H23" s="26"/>
    </row>
    <row r="25" spans="3:21" x14ac:dyDescent="0.25">
      <c r="C25" s="13" t="s">
        <v>88</v>
      </c>
      <c r="I25" s="76" t="s">
        <v>62</v>
      </c>
      <c r="J25" s="123" t="s">
        <v>91</v>
      </c>
      <c r="K25" s="76" t="s">
        <v>94</v>
      </c>
      <c r="L25" s="135" t="s">
        <v>8</v>
      </c>
      <c r="M25" s="136" t="s">
        <v>8</v>
      </c>
      <c r="N25" s="68" t="s">
        <v>21</v>
      </c>
      <c r="O25" s="76" t="s">
        <v>61</v>
      </c>
      <c r="Q25" s="129" t="s">
        <v>95</v>
      </c>
      <c r="R25" s="129" t="s">
        <v>96</v>
      </c>
      <c r="S25" s="68" t="s">
        <v>98</v>
      </c>
      <c r="T25" s="131" t="s">
        <v>99</v>
      </c>
      <c r="U25" s="131" t="s">
        <v>100</v>
      </c>
    </row>
    <row r="26" spans="3:21" x14ac:dyDescent="0.25">
      <c r="I26" s="80" t="s">
        <v>63</v>
      </c>
      <c r="J26" s="124" t="s">
        <v>93</v>
      </c>
      <c r="K26" s="127" t="s">
        <v>92</v>
      </c>
      <c r="L26" s="126"/>
      <c r="M26" s="137" t="s">
        <v>104</v>
      </c>
      <c r="N26" s="64"/>
      <c r="O26" s="64"/>
      <c r="Q26" s="130" t="s">
        <v>93</v>
      </c>
      <c r="R26" s="130" t="s">
        <v>97</v>
      </c>
      <c r="S26" s="64"/>
      <c r="T26" s="132"/>
      <c r="U26" s="64"/>
    </row>
    <row r="27" spans="3:21" x14ac:dyDescent="0.25">
      <c r="C27" s="21" t="s">
        <v>105</v>
      </c>
      <c r="D27" s="120">
        <v>0.6</v>
      </c>
      <c r="E27" s="121">
        <v>3.2</v>
      </c>
      <c r="F27" s="121">
        <v>0.3</v>
      </c>
      <c r="G27" s="121">
        <v>1.8</v>
      </c>
      <c r="H27" s="121">
        <v>0.1</v>
      </c>
      <c r="I27" s="81">
        <f t="shared" ref="I27:I28" si="7">SUMPRODUCT(D$5:H$5,D27:H27)</f>
        <v>0</v>
      </c>
      <c r="J27" s="122"/>
      <c r="K27" s="128">
        <f>I27-J27</f>
        <v>0</v>
      </c>
      <c r="L27" s="99">
        <v>1</v>
      </c>
      <c r="M27" s="56">
        <f>L27*$L$5</f>
        <v>0</v>
      </c>
      <c r="N27" s="22" t="b">
        <f t="shared" ref="N27:N28" si="8">K27&lt;=M27*(1+$Z$3)</f>
        <v>1</v>
      </c>
      <c r="O27" s="138" t="e">
        <f>I27/$L$5</f>
        <v>#DIV/0!</v>
      </c>
      <c r="Q27" s="98">
        <v>0.2</v>
      </c>
      <c r="R27" s="77">
        <f t="shared" ref="R27:R28" si="9">Q27*$L$5</f>
        <v>0</v>
      </c>
      <c r="S27" s="22" t="b">
        <f t="shared" ref="S27:S28" si="10">J27&lt;=R27*(1+$Z$3)</f>
        <v>1</v>
      </c>
      <c r="T27" s="133">
        <v>40</v>
      </c>
      <c r="U27" s="128">
        <f>T27*J27</f>
        <v>0</v>
      </c>
    </row>
    <row r="28" spans="3:21" x14ac:dyDescent="0.25">
      <c r="C28" s="8" t="s">
        <v>89</v>
      </c>
      <c r="D28" s="8">
        <v>38.700000000000003</v>
      </c>
      <c r="E28" s="7">
        <v>40</v>
      </c>
      <c r="F28" s="7">
        <v>22.3</v>
      </c>
      <c r="G28" s="7">
        <v>22.6</v>
      </c>
      <c r="H28" s="7">
        <v>19.2</v>
      </c>
      <c r="I28" s="83">
        <f t="shared" si="7"/>
        <v>0</v>
      </c>
      <c r="J28" s="122"/>
      <c r="K28" s="79">
        <f>I28-J28</f>
        <v>0</v>
      </c>
      <c r="L28" s="39">
        <v>36.9</v>
      </c>
      <c r="M28" s="60">
        <f>L28*$L$5</f>
        <v>0</v>
      </c>
      <c r="N28" s="24" t="b">
        <f t="shared" si="8"/>
        <v>1</v>
      </c>
      <c r="O28" s="79" t="e">
        <f>I28/$L$5</f>
        <v>#DIV/0!</v>
      </c>
      <c r="Q28" s="59">
        <v>0</v>
      </c>
      <c r="R28" s="79">
        <f t="shared" si="9"/>
        <v>0</v>
      </c>
      <c r="S28" s="24" t="b">
        <f t="shared" si="10"/>
        <v>1</v>
      </c>
      <c r="T28" s="134">
        <v>0</v>
      </c>
      <c r="U28" s="95">
        <f>T28*J28</f>
        <v>0</v>
      </c>
    </row>
    <row r="29" spans="3:21" x14ac:dyDescent="0.25">
      <c r="H29" s="26"/>
    </row>
    <row r="31" spans="3:21" x14ac:dyDescent="0.25">
      <c r="C31" s="13" t="s">
        <v>90</v>
      </c>
      <c r="I31" s="76" t="s">
        <v>62</v>
      </c>
      <c r="J31" s="123" t="s">
        <v>91</v>
      </c>
      <c r="K31" s="76" t="s">
        <v>94</v>
      </c>
      <c r="L31" s="135" t="s">
        <v>8</v>
      </c>
      <c r="M31" s="136" t="s">
        <v>8</v>
      </c>
      <c r="N31" s="68" t="s">
        <v>21</v>
      </c>
      <c r="O31" s="76" t="s">
        <v>61</v>
      </c>
      <c r="Q31" s="129" t="s">
        <v>95</v>
      </c>
      <c r="R31" s="129" t="s">
        <v>96</v>
      </c>
      <c r="S31" s="68" t="s">
        <v>98</v>
      </c>
      <c r="T31" s="131" t="s">
        <v>99</v>
      </c>
      <c r="U31" s="131" t="s">
        <v>100</v>
      </c>
    </row>
    <row r="32" spans="3:21" x14ac:dyDescent="0.25">
      <c r="I32" s="80" t="s">
        <v>63</v>
      </c>
      <c r="J32" s="124" t="s">
        <v>93</v>
      </c>
      <c r="K32" s="127" t="s">
        <v>92</v>
      </c>
      <c r="L32" s="126"/>
      <c r="M32" s="137" t="s">
        <v>104</v>
      </c>
      <c r="N32" s="64"/>
      <c r="O32" s="64"/>
      <c r="Q32" s="130" t="s">
        <v>93</v>
      </c>
      <c r="R32" s="130" t="s">
        <v>97</v>
      </c>
      <c r="S32" s="64"/>
      <c r="T32" s="132"/>
      <c r="U32" s="64"/>
    </row>
    <row r="33" spans="3:21" x14ac:dyDescent="0.25">
      <c r="C33" s="21" t="s">
        <v>105</v>
      </c>
      <c r="D33" s="120">
        <v>0.6</v>
      </c>
      <c r="E33" s="121">
        <v>3.2</v>
      </c>
      <c r="F33" s="121">
        <v>0.3</v>
      </c>
      <c r="G33" s="121">
        <v>1.8</v>
      </c>
      <c r="H33" s="121">
        <v>0.1</v>
      </c>
      <c r="I33" s="81">
        <f t="shared" ref="I33:I34" si="11">SUMPRODUCT(D$6:H$6,D33:H33)</f>
        <v>0</v>
      </c>
      <c r="J33" s="122"/>
      <c r="K33" s="128">
        <f>I33-J33</f>
        <v>0</v>
      </c>
      <c r="L33" s="99">
        <v>2.5</v>
      </c>
      <c r="M33" s="56">
        <f>L33*$L$6</f>
        <v>0</v>
      </c>
      <c r="N33" s="22" t="b">
        <f t="shared" ref="N33:N34" si="12">K33&lt;=M33*(1+$Z$3)</f>
        <v>1</v>
      </c>
      <c r="O33" s="138" t="e">
        <f>I33/$L$6</f>
        <v>#DIV/0!</v>
      </c>
      <c r="Q33" s="98">
        <v>0.5</v>
      </c>
      <c r="R33" s="77">
        <f t="shared" ref="R33:R34" si="13">Q33*$L$6</f>
        <v>0</v>
      </c>
      <c r="S33" s="22" t="b">
        <f t="shared" ref="S33:S34" si="14">J33&lt;=R33*(1+$Z$3)</f>
        <v>1</v>
      </c>
      <c r="T33" s="133">
        <v>25</v>
      </c>
      <c r="U33" s="128">
        <f>T33*J33</f>
        <v>0</v>
      </c>
    </row>
    <row r="34" spans="3:21" x14ac:dyDescent="0.25">
      <c r="C34" s="8" t="s">
        <v>89</v>
      </c>
      <c r="D34" s="8">
        <v>38.700000000000003</v>
      </c>
      <c r="E34" s="7">
        <v>40</v>
      </c>
      <c r="F34" s="7">
        <v>22.3</v>
      </c>
      <c r="G34" s="7">
        <v>22.6</v>
      </c>
      <c r="H34" s="7">
        <v>19.2</v>
      </c>
      <c r="I34" s="83">
        <f t="shared" si="11"/>
        <v>0</v>
      </c>
      <c r="J34" s="122"/>
      <c r="K34" s="79">
        <f>I34-J34</f>
        <v>0</v>
      </c>
      <c r="L34" s="39">
        <v>38.299999999999997</v>
      </c>
      <c r="M34" s="60">
        <f>L34*$L$6</f>
        <v>0</v>
      </c>
      <c r="N34" s="24" t="b">
        <f t="shared" si="12"/>
        <v>1</v>
      </c>
      <c r="O34" s="79" t="e">
        <f>I34/$L$6</f>
        <v>#DIV/0!</v>
      </c>
      <c r="Q34" s="59">
        <v>0</v>
      </c>
      <c r="R34" s="79">
        <f t="shared" si="13"/>
        <v>0</v>
      </c>
      <c r="S34" s="24" t="b">
        <f t="shared" si="14"/>
        <v>1</v>
      </c>
      <c r="T34" s="134">
        <v>0</v>
      </c>
      <c r="U34" s="95">
        <f>T34*J34</f>
        <v>0</v>
      </c>
    </row>
    <row r="35" spans="3:21" x14ac:dyDescent="0.25">
      <c r="H35" s="26"/>
    </row>
    <row r="36" spans="3:21" x14ac:dyDescent="0.25">
      <c r="T36" s="13" t="s">
        <v>103</v>
      </c>
    </row>
    <row r="37" spans="3:21" x14ac:dyDescent="0.25">
      <c r="T37" s="62" t="s">
        <v>56</v>
      </c>
      <c r="U37" s="69">
        <f>SUM(U19:U34)</f>
        <v>0</v>
      </c>
    </row>
  </sheetData>
  <mergeCells count="2">
    <mergeCell ref="B2:C3"/>
    <mergeCell ref="B4:B6"/>
  </mergeCells>
  <conditionalFormatting sqref="N21:N22 N27:N28">
    <cfRule type="cellIs" dxfId="47" priority="12" operator="equal">
      <formula>FALSE</formula>
    </cfRule>
  </conditionalFormatting>
  <conditionalFormatting sqref="N4:N6">
    <cfRule type="cellIs" dxfId="46" priority="11" operator="equal">
      <formula>FALSE</formula>
    </cfRule>
  </conditionalFormatting>
  <conditionalFormatting sqref="D11:H11">
    <cfRule type="cellIs" dxfId="45" priority="10" operator="equal">
      <formula>FALSE</formula>
    </cfRule>
  </conditionalFormatting>
  <conditionalFormatting sqref="S21:S22">
    <cfRule type="cellIs" dxfId="44" priority="7" operator="equal">
      <formula>FALSE</formula>
    </cfRule>
  </conditionalFormatting>
  <conditionalFormatting sqref="S27:S28">
    <cfRule type="cellIs" dxfId="43" priority="3" operator="equal">
      <formula>FALSE</formula>
    </cfRule>
  </conditionalFormatting>
  <conditionalFormatting sqref="S33:S34">
    <cfRule type="cellIs" dxfId="42" priority="2" operator="equal">
      <formula>FALSE</formula>
    </cfRule>
  </conditionalFormatting>
  <conditionalFormatting sqref="N33:N34">
    <cfRule type="cellIs" dxfId="41" priority="1" operator="equal">
      <formula>FALSE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7"/>
  <sheetViews>
    <sheetView showGridLines="0" workbookViewId="0">
      <selection activeCell="J18" sqref="J18"/>
    </sheetView>
  </sheetViews>
  <sheetFormatPr defaultRowHeight="15" x14ac:dyDescent="0.25"/>
  <cols>
    <col min="1" max="1" width="1.7109375" customWidth="1"/>
    <col min="2" max="2" width="3.7109375" bestFit="1" customWidth="1"/>
    <col min="3" max="3" width="23.42578125" bestFit="1" customWidth="1"/>
    <col min="4" max="8" width="12.7109375" customWidth="1"/>
    <col min="9" max="9" width="10.140625" bestFit="1" customWidth="1"/>
    <col min="10" max="10" width="16.28515625" bestFit="1" customWidth="1"/>
    <col min="11" max="11" width="14.85546875" bestFit="1" customWidth="1"/>
    <col min="12" max="12" width="11.28515625" customWidth="1"/>
    <col min="13" max="13" width="9.28515625" customWidth="1"/>
    <col min="14" max="14" width="16.7109375" bestFit="1" customWidth="1"/>
    <col min="15" max="15" width="16.85546875" bestFit="1" customWidth="1"/>
    <col min="17" max="17" width="15.42578125" bestFit="1" customWidth="1"/>
  </cols>
  <sheetData>
    <row r="1" spans="2:22" ht="9" customHeight="1" x14ac:dyDescent="0.25"/>
    <row r="2" spans="2:22" x14ac:dyDescent="0.25">
      <c r="B2" s="214" t="s">
        <v>45</v>
      </c>
      <c r="C2" s="215"/>
      <c r="D2" s="15"/>
      <c r="E2" s="16"/>
      <c r="F2" s="17" t="s">
        <v>0</v>
      </c>
      <c r="G2" s="16"/>
      <c r="H2" s="18"/>
      <c r="J2" s="67" t="s">
        <v>48</v>
      </c>
      <c r="N2" s="13" t="s">
        <v>53</v>
      </c>
      <c r="R2" s="13" t="s">
        <v>30</v>
      </c>
    </row>
    <row r="3" spans="2:22" x14ac:dyDescent="0.25">
      <c r="B3" s="216"/>
      <c r="C3" s="217"/>
      <c r="D3" s="9" t="s">
        <v>2</v>
      </c>
      <c r="E3" s="10" t="s">
        <v>3</v>
      </c>
      <c r="F3" s="10" t="s">
        <v>4</v>
      </c>
      <c r="G3" s="10" t="s">
        <v>5</v>
      </c>
      <c r="H3" s="11" t="s">
        <v>6</v>
      </c>
      <c r="J3" s="63" t="s">
        <v>41</v>
      </c>
      <c r="K3" s="63" t="s">
        <v>42</v>
      </c>
      <c r="L3" s="63" t="s">
        <v>43</v>
      </c>
      <c r="N3" s="63" t="s">
        <v>51</v>
      </c>
      <c r="O3" s="63" t="s">
        <v>52</v>
      </c>
      <c r="R3" t="s">
        <v>71</v>
      </c>
      <c r="U3" s="105">
        <v>9.9999999999999995E-7</v>
      </c>
      <c r="V3" t="s">
        <v>72</v>
      </c>
    </row>
    <row r="4" spans="2:22" ht="18" customHeight="1" x14ac:dyDescent="0.25">
      <c r="B4" s="212" t="s">
        <v>44</v>
      </c>
      <c r="C4" s="65" t="s">
        <v>46</v>
      </c>
      <c r="D4" s="74">
        <v>1311.2316584439229</v>
      </c>
      <c r="E4" s="75">
        <v>404.12894572973573</v>
      </c>
      <c r="F4" s="75">
        <v>0</v>
      </c>
      <c r="G4" s="75">
        <v>534.63939582636056</v>
      </c>
      <c r="H4" s="75">
        <v>250.00000000000321</v>
      </c>
      <c r="J4" s="69">
        <f>SUM(D4:H4)</f>
        <v>2500.0000000000223</v>
      </c>
      <c r="K4" s="51">
        <v>2500</v>
      </c>
      <c r="L4" s="22" t="b">
        <f t="shared" ref="L4:L5" si="0">J4&lt;=K4*(1+$U$3)</f>
        <v>1</v>
      </c>
      <c r="N4" s="51">
        <v>425</v>
      </c>
      <c r="O4" s="69">
        <f>N4*J4</f>
        <v>1062500.0000000095</v>
      </c>
    </row>
    <row r="5" spans="2:22" ht="18" customHeight="1" x14ac:dyDescent="0.25">
      <c r="B5" s="213"/>
      <c r="C5" s="66" t="s">
        <v>47</v>
      </c>
      <c r="D5" s="74">
        <v>688.7683415560748</v>
      </c>
      <c r="E5" s="75">
        <v>172.72984592200922</v>
      </c>
      <c r="F5" s="75">
        <v>4.1701149223156575</v>
      </c>
      <c r="G5" s="75">
        <v>252.63253447089332</v>
      </c>
      <c r="H5" s="75">
        <v>58.857938782699655</v>
      </c>
      <c r="J5" s="69">
        <f>SUM(D5:H5)</f>
        <v>1177.1587756539925</v>
      </c>
      <c r="K5" s="51">
        <v>4000</v>
      </c>
      <c r="L5" s="28" t="b">
        <f t="shared" si="0"/>
        <v>1</v>
      </c>
      <c r="N5" s="51">
        <v>429</v>
      </c>
      <c r="O5" s="69">
        <f>N5*J5</f>
        <v>505001.1147555628</v>
      </c>
    </row>
    <row r="6" spans="2:22" ht="18" customHeight="1" x14ac:dyDescent="0.25"/>
    <row r="7" spans="2:22" ht="18" customHeight="1" x14ac:dyDescent="0.25">
      <c r="C7" s="67" t="s">
        <v>69</v>
      </c>
    </row>
    <row r="8" spans="2:22" ht="15" customHeight="1" x14ac:dyDescent="0.25">
      <c r="C8" s="61" t="s">
        <v>64</v>
      </c>
      <c r="D8" s="84">
        <f>D27</f>
        <v>0.79</v>
      </c>
      <c r="E8" s="84">
        <f>E27</f>
        <v>0.68</v>
      </c>
      <c r="F8" s="84">
        <f>F27</f>
        <v>0.7</v>
      </c>
      <c r="G8" s="84">
        <f>G27</f>
        <v>0.68</v>
      </c>
      <c r="H8" s="84">
        <f>H27</f>
        <v>0.79400000000000004</v>
      </c>
      <c r="J8" s="63" t="s">
        <v>70</v>
      </c>
    </row>
    <row r="9" spans="2:22" ht="15" customHeight="1" x14ac:dyDescent="0.25">
      <c r="C9" s="93" t="s">
        <v>46</v>
      </c>
      <c r="D9" s="95">
        <f t="shared" ref="D9:H10" si="1">D4*D$8</f>
        <v>1035.8730101706992</v>
      </c>
      <c r="E9" s="95">
        <f t="shared" si="1"/>
        <v>274.80768309622033</v>
      </c>
      <c r="F9" s="95">
        <f t="shared" si="1"/>
        <v>0</v>
      </c>
      <c r="G9" s="95">
        <f t="shared" si="1"/>
        <v>363.55478916192521</v>
      </c>
      <c r="H9" s="95">
        <f t="shared" si="1"/>
        <v>198.50000000000256</v>
      </c>
      <c r="J9" s="69">
        <f>SUM(D9:H9)</f>
        <v>1872.7354824288475</v>
      </c>
    </row>
    <row r="10" spans="2:22" ht="15" customHeight="1" x14ac:dyDescent="0.25">
      <c r="C10" s="94" t="s">
        <v>47</v>
      </c>
      <c r="D10" s="95">
        <f t="shared" si="1"/>
        <v>544.12698982929908</v>
      </c>
      <c r="E10" s="95">
        <f t="shared" si="1"/>
        <v>117.45629522696628</v>
      </c>
      <c r="F10" s="95">
        <f t="shared" si="1"/>
        <v>2.9190804456209603</v>
      </c>
      <c r="G10" s="95">
        <f t="shared" si="1"/>
        <v>171.79012344020748</v>
      </c>
      <c r="H10" s="95">
        <f t="shared" si="1"/>
        <v>46.733203393463526</v>
      </c>
      <c r="J10" s="69">
        <f>SUM(D10:H10)</f>
        <v>883.02569233555732</v>
      </c>
    </row>
    <row r="13" spans="2:22" x14ac:dyDescent="0.25">
      <c r="C13" s="67" t="s">
        <v>49</v>
      </c>
    </row>
    <row r="14" spans="2:22" ht="15" customHeight="1" x14ac:dyDescent="0.25">
      <c r="C14" s="61" t="s">
        <v>40</v>
      </c>
      <c r="D14" s="69">
        <f>SUM(D4:D5)</f>
        <v>1999.9999999999977</v>
      </c>
      <c r="E14" s="69">
        <f>SUM(E4:E5)</f>
        <v>576.85879165174492</v>
      </c>
      <c r="F14" s="69">
        <f>SUM(F4:F5)</f>
        <v>4.1701149223156575</v>
      </c>
      <c r="G14" s="69">
        <f>SUM(G4:G5)</f>
        <v>787.2719302972539</v>
      </c>
      <c r="H14" s="69">
        <f>SUM(H4:H5)</f>
        <v>308.85793878270289</v>
      </c>
    </row>
    <row r="15" spans="2:22" ht="15" customHeight="1" x14ac:dyDescent="0.25">
      <c r="C15" s="61" t="s">
        <v>50</v>
      </c>
      <c r="D15" s="51">
        <v>2000</v>
      </c>
      <c r="E15" s="51">
        <v>1000</v>
      </c>
      <c r="F15" s="51">
        <v>2000</v>
      </c>
      <c r="G15" s="51">
        <v>2000</v>
      </c>
      <c r="H15" s="51">
        <v>1000</v>
      </c>
    </row>
    <row r="16" spans="2:22" ht="15" customHeight="1" x14ac:dyDescent="0.25">
      <c r="C16" s="61" t="s">
        <v>43</v>
      </c>
      <c r="D16" s="28" t="b">
        <f t="shared" ref="D16:H16" si="2">D14&lt;=D15*(1+$U$3)</f>
        <v>1</v>
      </c>
      <c r="E16" s="28" t="b">
        <f t="shared" si="2"/>
        <v>1</v>
      </c>
      <c r="F16" s="28" t="b">
        <f t="shared" si="2"/>
        <v>1</v>
      </c>
      <c r="G16" s="28" t="b">
        <f t="shared" si="2"/>
        <v>1</v>
      </c>
      <c r="H16" s="28" t="b">
        <f t="shared" si="2"/>
        <v>1</v>
      </c>
    </row>
    <row r="17" spans="3:15" ht="15" customHeight="1" x14ac:dyDescent="0.25">
      <c r="C17" s="61" t="s">
        <v>65</v>
      </c>
      <c r="D17" s="69">
        <f>D14*D8</f>
        <v>1579.9999999999982</v>
      </c>
      <c r="E17" s="69">
        <f>E14*E8</f>
        <v>392.26397832318656</v>
      </c>
      <c r="F17" s="69">
        <f>F14*F8</f>
        <v>2.9190804456209603</v>
      </c>
      <c r="G17" s="69">
        <f>G14*G8</f>
        <v>535.34491260213269</v>
      </c>
      <c r="H17" s="69">
        <f>H14*H8</f>
        <v>245.23320339346611</v>
      </c>
    </row>
    <row r="18" spans="3:15" ht="15" customHeight="1" x14ac:dyDescent="0.25"/>
    <row r="19" spans="3:15" ht="15" customHeight="1" x14ac:dyDescent="0.25">
      <c r="C19" s="13" t="s">
        <v>54</v>
      </c>
    </row>
    <row r="20" spans="3:15" ht="15" customHeight="1" x14ac:dyDescent="0.25">
      <c r="C20" s="14" t="s">
        <v>57</v>
      </c>
      <c r="D20" s="51">
        <v>420</v>
      </c>
      <c r="E20" s="51">
        <v>435</v>
      </c>
      <c r="F20" s="51">
        <v>440</v>
      </c>
      <c r="G20" s="51">
        <v>423</v>
      </c>
      <c r="H20" s="51">
        <v>350</v>
      </c>
      <c r="J20" s="27"/>
      <c r="L20" s="27"/>
      <c r="N20" s="13" t="s">
        <v>55</v>
      </c>
    </row>
    <row r="21" spans="3:15" x14ac:dyDescent="0.25">
      <c r="C21" s="14" t="s">
        <v>58</v>
      </c>
      <c r="D21" s="69">
        <f>D20*D14</f>
        <v>839999.99999999907</v>
      </c>
      <c r="E21" s="69">
        <f>E20*E14</f>
        <v>250933.57436850903</v>
      </c>
      <c r="F21" s="69">
        <f>F20*F14</f>
        <v>1834.8505658188892</v>
      </c>
      <c r="G21" s="69">
        <f>G20*G14</f>
        <v>333016.0265157384</v>
      </c>
      <c r="H21" s="69">
        <f>H20*H14</f>
        <v>108100.27857394601</v>
      </c>
      <c r="J21" s="27"/>
      <c r="L21" s="27"/>
      <c r="N21" s="62" t="s">
        <v>56</v>
      </c>
      <c r="O21" s="50">
        <f>SUM(O4:O5)-SUM(D21:H21)</f>
        <v>33616.384731560946</v>
      </c>
    </row>
    <row r="25" spans="3:15" x14ac:dyDescent="0.25">
      <c r="C25" s="13" t="s">
        <v>59</v>
      </c>
      <c r="I25" s="76" t="s">
        <v>62</v>
      </c>
      <c r="J25" s="31" t="s">
        <v>19</v>
      </c>
      <c r="K25" s="16"/>
      <c r="L25" s="31" t="s">
        <v>38</v>
      </c>
      <c r="M25" s="16"/>
      <c r="N25" s="68" t="s">
        <v>21</v>
      </c>
      <c r="O25" s="76" t="s">
        <v>61</v>
      </c>
    </row>
    <row r="26" spans="3:15" x14ac:dyDescent="0.25">
      <c r="I26" s="80" t="s">
        <v>63</v>
      </c>
      <c r="J26" s="19" t="s">
        <v>7</v>
      </c>
      <c r="K26" s="40" t="s">
        <v>8</v>
      </c>
      <c r="L26" s="19" t="s">
        <v>7</v>
      </c>
      <c r="M26" s="40" t="s">
        <v>8</v>
      </c>
      <c r="N26" s="64"/>
      <c r="O26" s="64"/>
    </row>
    <row r="27" spans="3:15" x14ac:dyDescent="0.25">
      <c r="C27" s="21" t="s">
        <v>9</v>
      </c>
      <c r="D27" s="1">
        <v>0.79</v>
      </c>
      <c r="E27" s="2">
        <v>0.68</v>
      </c>
      <c r="F27" s="2">
        <v>0.7</v>
      </c>
      <c r="G27" s="2">
        <v>0.68</v>
      </c>
      <c r="H27" s="2">
        <v>0.79400000000000004</v>
      </c>
      <c r="I27" s="81">
        <f t="shared" ref="I27:I37" si="3">SUMPRODUCT(D$4:H$4,D27:H27)</f>
        <v>1872.7354824288475</v>
      </c>
      <c r="J27" s="32">
        <v>0.72</v>
      </c>
      <c r="K27" s="33">
        <v>0.77500000000000002</v>
      </c>
      <c r="L27" s="98">
        <f t="shared" ref="L27:M37" si="4">J27*$J$4</f>
        <v>1800.0000000000159</v>
      </c>
      <c r="M27" s="99">
        <f t="shared" si="4"/>
        <v>1937.5000000000173</v>
      </c>
      <c r="N27" s="22" t="b">
        <f t="shared" ref="N27:N37" si="5">AND(I27&gt;=L27*(1-$U$3),I27&lt;=M27*(1+$U$3))</f>
        <v>1</v>
      </c>
      <c r="O27" s="77">
        <f t="shared" ref="O27:O37" si="6">I27/$J$4</f>
        <v>0.74909419297153235</v>
      </c>
    </row>
    <row r="28" spans="3:15" x14ac:dyDescent="0.25">
      <c r="C28" s="6" t="s">
        <v>73</v>
      </c>
      <c r="D28" s="4">
        <v>96</v>
      </c>
      <c r="E28" s="5">
        <v>88</v>
      </c>
      <c r="F28" s="5">
        <v>101</v>
      </c>
      <c r="G28" s="5">
        <v>93</v>
      </c>
      <c r="H28" s="5">
        <v>112</v>
      </c>
      <c r="I28" s="82">
        <f t="shared" si="3"/>
        <v>239163.05024668522</v>
      </c>
      <c r="J28" s="34">
        <v>95</v>
      </c>
      <c r="K28" s="35">
        <v>999</v>
      </c>
      <c r="L28" s="100">
        <f t="shared" si="4"/>
        <v>237500.00000000212</v>
      </c>
      <c r="M28" s="101">
        <f t="shared" si="4"/>
        <v>2497500.0000000224</v>
      </c>
      <c r="N28" s="23" t="b">
        <f t="shared" si="5"/>
        <v>1</v>
      </c>
      <c r="O28" s="78">
        <f t="shared" si="6"/>
        <v>95.665220098673231</v>
      </c>
    </row>
    <row r="29" spans="3:15" x14ac:dyDescent="0.25">
      <c r="C29" s="6" t="s">
        <v>74</v>
      </c>
      <c r="D29" s="116">
        <f t="shared" ref="D29:K29" si="7">D38^1.25</f>
        <v>70.210419579621487</v>
      </c>
      <c r="E29" s="117">
        <f t="shared" si="7"/>
        <v>202.47553259633551</v>
      </c>
      <c r="F29" s="117">
        <f t="shared" si="7"/>
        <v>100.59467437463482</v>
      </c>
      <c r="G29" s="117">
        <f t="shared" si="7"/>
        <v>202.47553259633551</v>
      </c>
      <c r="H29" s="118">
        <f t="shared" si="7"/>
        <v>524.94532673708716</v>
      </c>
      <c r="I29" s="82">
        <f t="shared" si="3"/>
        <v>413376.0765308534</v>
      </c>
      <c r="J29" s="57">
        <f t="shared" si="7"/>
        <v>116.55090288501074</v>
      </c>
      <c r="K29" s="58">
        <f t="shared" si="7"/>
        <v>166.98946102282443</v>
      </c>
      <c r="L29" s="100">
        <f t="shared" si="4"/>
        <v>291377.25721252948</v>
      </c>
      <c r="M29" s="101">
        <f t="shared" si="4"/>
        <v>417473.65255706478</v>
      </c>
      <c r="N29" s="23" t="b">
        <f t="shared" si="5"/>
        <v>1</v>
      </c>
      <c r="O29" s="78">
        <f t="shared" si="6"/>
        <v>165.35043061233989</v>
      </c>
    </row>
    <row r="30" spans="3:15" x14ac:dyDescent="0.25">
      <c r="C30" s="6" t="s">
        <v>11</v>
      </c>
      <c r="D30" s="6">
        <v>58</v>
      </c>
      <c r="E30" s="3">
        <v>1.5</v>
      </c>
      <c r="F30" s="3">
        <v>0.1</v>
      </c>
      <c r="G30" s="3">
        <v>1</v>
      </c>
      <c r="H30" s="3">
        <v>0</v>
      </c>
      <c r="I30" s="82">
        <f t="shared" si="3"/>
        <v>77192.269004168498</v>
      </c>
      <c r="J30" s="36">
        <v>0</v>
      </c>
      <c r="K30" s="37">
        <v>35</v>
      </c>
      <c r="L30" s="100">
        <f t="shared" si="4"/>
        <v>0</v>
      </c>
      <c r="M30" s="101">
        <f t="shared" si="4"/>
        <v>87500.000000000786</v>
      </c>
      <c r="N30" s="23" t="b">
        <f t="shared" si="5"/>
        <v>1</v>
      </c>
      <c r="O30" s="78">
        <f t="shared" si="6"/>
        <v>30.876907601667124</v>
      </c>
    </row>
    <row r="31" spans="3:15" x14ac:dyDescent="0.25">
      <c r="C31" s="6" t="s">
        <v>12</v>
      </c>
      <c r="D31" s="6">
        <v>1.5</v>
      </c>
      <c r="E31" s="3">
        <v>0.1</v>
      </c>
      <c r="F31" s="3">
        <v>0.1</v>
      </c>
      <c r="G31" s="3">
        <v>0.5</v>
      </c>
      <c r="H31" s="3">
        <v>0</v>
      </c>
      <c r="I31" s="82">
        <f t="shared" si="3"/>
        <v>2274.5800801520381</v>
      </c>
      <c r="J31" s="36">
        <v>0</v>
      </c>
      <c r="K31" s="37">
        <v>1</v>
      </c>
      <c r="L31" s="100">
        <f t="shared" si="4"/>
        <v>0</v>
      </c>
      <c r="M31" s="101">
        <f t="shared" si="4"/>
        <v>2500.0000000000223</v>
      </c>
      <c r="N31" s="23" t="b">
        <f t="shared" si="5"/>
        <v>1</v>
      </c>
      <c r="O31" s="78">
        <f t="shared" si="6"/>
        <v>0.90983203206080709</v>
      </c>
    </row>
    <row r="32" spans="3:15" x14ac:dyDescent="0.25">
      <c r="C32" s="6" t="s">
        <v>13</v>
      </c>
      <c r="D32" s="6">
        <v>0</v>
      </c>
      <c r="E32" s="3">
        <v>0</v>
      </c>
      <c r="F32" s="3">
        <v>0</v>
      </c>
      <c r="G32" s="3">
        <v>0</v>
      </c>
      <c r="H32" s="3">
        <v>100</v>
      </c>
      <c r="I32" s="82">
        <f t="shared" si="3"/>
        <v>25000.00000000032</v>
      </c>
      <c r="J32" s="36">
        <v>0</v>
      </c>
      <c r="K32" s="37">
        <v>10</v>
      </c>
      <c r="L32" s="100">
        <f t="shared" si="4"/>
        <v>0</v>
      </c>
      <c r="M32" s="101">
        <f t="shared" si="4"/>
        <v>25000.000000000222</v>
      </c>
      <c r="N32" s="23" t="b">
        <f t="shared" si="5"/>
        <v>1</v>
      </c>
      <c r="O32" s="78">
        <f t="shared" si="6"/>
        <v>10.000000000000039</v>
      </c>
    </row>
    <row r="33" spans="3:17" x14ac:dyDescent="0.25">
      <c r="C33" s="85" t="s">
        <v>67</v>
      </c>
      <c r="D33" s="85">
        <v>0</v>
      </c>
      <c r="E33" s="86">
        <v>2</v>
      </c>
      <c r="F33" s="86">
        <v>2</v>
      </c>
      <c r="G33" s="86">
        <v>50</v>
      </c>
      <c r="H33" s="86">
        <v>0</v>
      </c>
      <c r="I33" s="87">
        <f>SUMPRODUCT(D$9:H$9,D33:H33)</f>
        <v>18727.354824288701</v>
      </c>
      <c r="J33" s="89">
        <v>0</v>
      </c>
      <c r="K33" s="90">
        <v>10</v>
      </c>
      <c r="L33" s="102">
        <f t="shared" ref="L33:M34" si="8">J33*$J$9</f>
        <v>0</v>
      </c>
      <c r="M33" s="97">
        <f t="shared" si="8"/>
        <v>18727.354824288475</v>
      </c>
      <c r="N33" s="23" t="b">
        <f t="shared" si="5"/>
        <v>1</v>
      </c>
      <c r="O33" s="88">
        <f t="shared" ref="O33:O34" si="9">I33/$J$9</f>
        <v>10.000000000000121</v>
      </c>
      <c r="Q33" s="96"/>
    </row>
    <row r="34" spans="3:17" x14ac:dyDescent="0.25">
      <c r="C34" s="85" t="s">
        <v>68</v>
      </c>
      <c r="D34" s="85">
        <v>0</v>
      </c>
      <c r="E34" s="86">
        <v>0</v>
      </c>
      <c r="F34" s="86">
        <v>0</v>
      </c>
      <c r="G34" s="86">
        <v>0</v>
      </c>
      <c r="H34" s="86">
        <v>34.799999999999997</v>
      </c>
      <c r="I34" s="87">
        <f>SUMPRODUCT(D$9:H$9,D34:H34)</f>
        <v>6907.8000000000884</v>
      </c>
      <c r="J34" s="89">
        <v>0</v>
      </c>
      <c r="K34" s="90">
        <v>3.7</v>
      </c>
      <c r="L34" s="102">
        <f t="shared" si="8"/>
        <v>0</v>
      </c>
      <c r="M34" s="97">
        <f t="shared" si="8"/>
        <v>6929.1212849867361</v>
      </c>
      <c r="N34" s="23" t="b">
        <f t="shared" si="5"/>
        <v>1</v>
      </c>
      <c r="O34" s="88">
        <f t="shared" si="9"/>
        <v>3.6886148977329172</v>
      </c>
    </row>
    <row r="35" spans="3:17" x14ac:dyDescent="0.25">
      <c r="C35" s="6" t="s">
        <v>14</v>
      </c>
      <c r="D35" s="6">
        <v>4</v>
      </c>
      <c r="E35" s="3">
        <v>80</v>
      </c>
      <c r="F35" s="3">
        <v>8</v>
      </c>
      <c r="G35" s="3">
        <v>70</v>
      </c>
      <c r="H35" s="25">
        <v>180</v>
      </c>
      <c r="I35" s="82">
        <f t="shared" si="3"/>
        <v>120000.00000000038</v>
      </c>
      <c r="J35" s="36">
        <v>20</v>
      </c>
      <c r="K35" s="37">
        <v>48</v>
      </c>
      <c r="L35" s="100">
        <f t="shared" si="4"/>
        <v>50000.000000000444</v>
      </c>
      <c r="M35" s="101">
        <f t="shared" si="4"/>
        <v>120000.00000000108</v>
      </c>
      <c r="N35" s="23" t="b">
        <f t="shared" si="5"/>
        <v>1</v>
      </c>
      <c r="O35" s="78">
        <f t="shared" si="6"/>
        <v>47.999999999999723</v>
      </c>
    </row>
    <row r="36" spans="3:17" x14ac:dyDescent="0.25">
      <c r="C36" s="6" t="s">
        <v>15</v>
      </c>
      <c r="D36" s="6">
        <v>25</v>
      </c>
      <c r="E36" s="3">
        <v>95</v>
      </c>
      <c r="F36" s="3">
        <v>30</v>
      </c>
      <c r="G36" s="3">
        <v>90</v>
      </c>
      <c r="H36" s="25">
        <v>110</v>
      </c>
      <c r="I36" s="82">
        <f t="shared" si="3"/>
        <v>146790.58692979577</v>
      </c>
      <c r="J36" s="36">
        <v>46</v>
      </c>
      <c r="K36" s="37">
        <v>71</v>
      </c>
      <c r="L36" s="100">
        <f t="shared" si="4"/>
        <v>115000.00000000102</v>
      </c>
      <c r="M36" s="101">
        <f t="shared" si="4"/>
        <v>177500.00000000157</v>
      </c>
      <c r="N36" s="23" t="b">
        <f t="shared" si="5"/>
        <v>1</v>
      </c>
      <c r="O36" s="78">
        <f t="shared" si="6"/>
        <v>58.716234771917783</v>
      </c>
    </row>
    <row r="37" spans="3:17" x14ac:dyDescent="0.25">
      <c r="C37" s="8" t="s">
        <v>16</v>
      </c>
      <c r="D37" s="8">
        <v>95</v>
      </c>
      <c r="E37" s="7">
        <v>99</v>
      </c>
      <c r="F37" s="7">
        <v>94</v>
      </c>
      <c r="G37" s="7">
        <v>100</v>
      </c>
      <c r="H37" s="7">
        <v>100</v>
      </c>
      <c r="I37" s="83">
        <f t="shared" si="3"/>
        <v>243039.71276205289</v>
      </c>
      <c r="J37" s="38">
        <v>75</v>
      </c>
      <c r="K37" s="39">
        <v>100</v>
      </c>
      <c r="L37" s="103">
        <f t="shared" si="4"/>
        <v>187500.00000000166</v>
      </c>
      <c r="M37" s="104">
        <f t="shared" si="4"/>
        <v>250000.00000000224</v>
      </c>
      <c r="N37" s="24" t="b">
        <f t="shared" si="5"/>
        <v>1</v>
      </c>
      <c r="O37" s="79">
        <f t="shared" si="6"/>
        <v>97.215885104820288</v>
      </c>
    </row>
    <row r="38" spans="3:17" x14ac:dyDescent="0.25">
      <c r="C38" s="106" t="s">
        <v>10</v>
      </c>
      <c r="D38" s="106">
        <v>30</v>
      </c>
      <c r="E38" s="107">
        <v>70</v>
      </c>
      <c r="F38" s="107">
        <v>40</v>
      </c>
      <c r="G38" s="107">
        <v>70</v>
      </c>
      <c r="H38" s="108">
        <v>150</v>
      </c>
      <c r="I38" s="109"/>
      <c r="J38" s="110">
        <v>45</v>
      </c>
      <c r="K38" s="111">
        <v>60</v>
      </c>
      <c r="L38" s="112"/>
      <c r="M38" s="113"/>
      <c r="N38" s="114" t="b">
        <f>AND(O38&gt;=J38*(1-$U$3),O38&lt;=K38*(1+$U$3))</f>
        <v>1</v>
      </c>
      <c r="O38" s="115">
        <f>O29^(1/1.25)</f>
        <v>59.528407461187427</v>
      </c>
    </row>
    <row r="39" spans="3:17" x14ac:dyDescent="0.25">
      <c r="H39" s="26" t="s">
        <v>23</v>
      </c>
    </row>
    <row r="40" spans="3:17" x14ac:dyDescent="0.25">
      <c r="H40" s="26" t="s">
        <v>135</v>
      </c>
    </row>
    <row r="42" spans="3:17" x14ac:dyDescent="0.25">
      <c r="C42" s="13" t="s">
        <v>60</v>
      </c>
      <c r="I42" s="76" t="s">
        <v>62</v>
      </c>
      <c r="J42" s="31" t="s">
        <v>19</v>
      </c>
      <c r="K42" s="16"/>
      <c r="L42" s="31" t="s">
        <v>38</v>
      </c>
      <c r="M42" s="16"/>
      <c r="N42" s="68" t="s">
        <v>21</v>
      </c>
      <c r="O42" s="76" t="s">
        <v>61</v>
      </c>
    </row>
    <row r="43" spans="3:17" x14ac:dyDescent="0.25">
      <c r="I43" s="80" t="s">
        <v>63</v>
      </c>
      <c r="J43" s="19" t="s">
        <v>7</v>
      </c>
      <c r="K43" s="40" t="s">
        <v>8</v>
      </c>
      <c r="L43" s="19" t="s">
        <v>7</v>
      </c>
      <c r="M43" s="40" t="s">
        <v>8</v>
      </c>
      <c r="N43" s="64"/>
      <c r="O43" s="64"/>
    </row>
    <row r="44" spans="3:17" x14ac:dyDescent="0.25">
      <c r="C44" s="21" t="s">
        <v>9</v>
      </c>
      <c r="D44" s="1">
        <v>0.79</v>
      </c>
      <c r="E44" s="2">
        <v>0.68</v>
      </c>
      <c r="F44" s="2">
        <v>0.7</v>
      </c>
      <c r="G44" s="2">
        <v>0.68</v>
      </c>
      <c r="H44" s="2">
        <v>0.79400000000000004</v>
      </c>
      <c r="I44" s="81">
        <f t="shared" ref="I44:I54" si="10">SUMPRODUCT(D$5:H$5,D44:H44)</f>
        <v>883.02569233555732</v>
      </c>
      <c r="J44" s="32">
        <v>0.72</v>
      </c>
      <c r="K44" s="33">
        <v>0.77500000000000002</v>
      </c>
      <c r="L44" s="55">
        <f t="shared" ref="L44:M54" si="11">J44*$J$5</f>
        <v>847.55431847087459</v>
      </c>
      <c r="M44" s="56">
        <f t="shared" si="11"/>
        <v>912.2980511318442</v>
      </c>
      <c r="N44" s="22" t="b">
        <f t="shared" ref="N44:N54" si="12">AND(I44&gt;=L44*(1-$U$3),I44&lt;=M44*(1+$U$3))</f>
        <v>1</v>
      </c>
      <c r="O44" s="77">
        <f t="shared" ref="O44:O48" si="13">I44/$J$5</f>
        <v>0.75013304118212598</v>
      </c>
    </row>
    <row r="45" spans="3:17" x14ac:dyDescent="0.25">
      <c r="C45" s="6" t="s">
        <v>73</v>
      </c>
      <c r="D45" s="4">
        <v>96</v>
      </c>
      <c r="E45" s="5">
        <v>88</v>
      </c>
      <c r="F45" s="5">
        <v>101</v>
      </c>
      <c r="G45" s="5">
        <v>93</v>
      </c>
      <c r="H45" s="5">
        <v>112</v>
      </c>
      <c r="I45" s="82">
        <f t="shared" si="10"/>
        <v>111830.0836871293</v>
      </c>
      <c r="J45" s="34">
        <v>95</v>
      </c>
      <c r="K45" s="35">
        <v>999</v>
      </c>
      <c r="L45" s="57">
        <f t="shared" si="11"/>
        <v>111830.08368712928</v>
      </c>
      <c r="M45" s="58">
        <f t="shared" si="11"/>
        <v>1175981.6168783386</v>
      </c>
      <c r="N45" s="23" t="b">
        <f t="shared" si="12"/>
        <v>1</v>
      </c>
      <c r="O45" s="78">
        <f t="shared" si="13"/>
        <v>95.000000000000014</v>
      </c>
    </row>
    <row r="46" spans="3:17" x14ac:dyDescent="0.25">
      <c r="C46" s="6" t="s">
        <v>74</v>
      </c>
      <c r="D46" s="116">
        <f t="shared" ref="D46:K46" si="14">D55^1.25</f>
        <v>70.210419579621487</v>
      </c>
      <c r="E46" s="117">
        <f t="shared" si="14"/>
        <v>202.47553259633551</v>
      </c>
      <c r="F46" s="117">
        <f t="shared" si="14"/>
        <v>100.59467437463482</v>
      </c>
      <c r="G46" s="117">
        <f t="shared" si="14"/>
        <v>202.47553259633551</v>
      </c>
      <c r="H46" s="118">
        <f t="shared" si="14"/>
        <v>524.94532673708716</v>
      </c>
      <c r="I46" s="82">
        <f>SUMPRODUCT(D$5:H$5,D46:H46)</f>
        <v>165800.88002838095</v>
      </c>
      <c r="J46" s="57">
        <f t="shared" si="14"/>
        <v>116.55090288501074</v>
      </c>
      <c r="K46" s="58">
        <f t="shared" si="14"/>
        <v>166.98946102282443</v>
      </c>
      <c r="L46" s="57">
        <f t="shared" ref="L46" si="15">J46*$J$5</f>
        <v>137198.91814148662</v>
      </c>
      <c r="M46" s="58">
        <f t="shared" ref="M46" si="16">K46*$J$5</f>
        <v>196573.1094847481</v>
      </c>
      <c r="N46" s="23" t="b">
        <f t="shared" si="12"/>
        <v>1</v>
      </c>
      <c r="O46" s="78">
        <f t="shared" si="13"/>
        <v>140.84835746670382</v>
      </c>
    </row>
    <row r="47" spans="3:17" x14ac:dyDescent="0.25">
      <c r="C47" s="6" t="s">
        <v>11</v>
      </c>
      <c r="D47" s="6">
        <v>58</v>
      </c>
      <c r="E47" s="3">
        <v>1.5</v>
      </c>
      <c r="F47" s="3">
        <v>0.1</v>
      </c>
      <c r="G47" s="3">
        <v>1</v>
      </c>
      <c r="H47" s="3">
        <v>0</v>
      </c>
      <c r="I47" s="82">
        <f t="shared" si="10"/>
        <v>40460.708125098477</v>
      </c>
      <c r="J47" s="36">
        <v>0</v>
      </c>
      <c r="K47" s="37">
        <v>35</v>
      </c>
      <c r="L47" s="57">
        <f t="shared" si="11"/>
        <v>0</v>
      </c>
      <c r="M47" s="58">
        <f t="shared" si="11"/>
        <v>41200.55714788974</v>
      </c>
      <c r="N47" s="23" t="b">
        <f t="shared" si="12"/>
        <v>1</v>
      </c>
      <c r="O47" s="78">
        <f t="shared" si="13"/>
        <v>34.371495979902775</v>
      </c>
    </row>
    <row r="48" spans="3:17" x14ac:dyDescent="0.25">
      <c r="C48" s="6" t="s">
        <v>12</v>
      </c>
      <c r="D48" s="6">
        <v>1.5</v>
      </c>
      <c r="E48" s="3">
        <v>0.1</v>
      </c>
      <c r="F48" s="3">
        <v>0.1</v>
      </c>
      <c r="G48" s="3">
        <v>0.5</v>
      </c>
      <c r="H48" s="3">
        <v>0</v>
      </c>
      <c r="I48" s="82">
        <f t="shared" si="10"/>
        <v>1177.1587756539911</v>
      </c>
      <c r="J48" s="36">
        <v>0</v>
      </c>
      <c r="K48" s="37">
        <v>1</v>
      </c>
      <c r="L48" s="57">
        <f t="shared" si="11"/>
        <v>0</v>
      </c>
      <c r="M48" s="58">
        <f t="shared" si="11"/>
        <v>1177.1587756539925</v>
      </c>
      <c r="N48" s="23" t="b">
        <f t="shared" si="12"/>
        <v>1</v>
      </c>
      <c r="O48" s="78">
        <f t="shared" si="13"/>
        <v>0.99999999999999889</v>
      </c>
    </row>
    <row r="49" spans="3:15" x14ac:dyDescent="0.25">
      <c r="C49" s="6" t="s">
        <v>13</v>
      </c>
      <c r="D49" s="6">
        <v>0</v>
      </c>
      <c r="E49" s="3">
        <v>0</v>
      </c>
      <c r="F49" s="3">
        <v>0</v>
      </c>
      <c r="G49" s="3">
        <v>0</v>
      </c>
      <c r="H49" s="3">
        <v>100</v>
      </c>
      <c r="I49" s="82">
        <f t="shared" si="10"/>
        <v>5885.7938782699657</v>
      </c>
      <c r="J49" s="36">
        <v>0</v>
      </c>
      <c r="K49" s="37">
        <v>5</v>
      </c>
      <c r="L49" s="57">
        <f t="shared" si="11"/>
        <v>0</v>
      </c>
      <c r="M49" s="58">
        <f t="shared" si="11"/>
        <v>5885.7938782699621</v>
      </c>
      <c r="N49" s="23" t="b">
        <f t="shared" si="12"/>
        <v>1</v>
      </c>
      <c r="O49" s="78">
        <f t="shared" ref="O49:O54" si="17">I49/$J$5</f>
        <v>5.0000000000000027</v>
      </c>
    </row>
    <row r="50" spans="3:15" x14ac:dyDescent="0.25">
      <c r="C50" s="85" t="s">
        <v>67</v>
      </c>
      <c r="D50" s="85">
        <v>0</v>
      </c>
      <c r="E50" s="86">
        <v>2</v>
      </c>
      <c r="F50" s="86">
        <v>2</v>
      </c>
      <c r="G50" s="86">
        <v>50</v>
      </c>
      <c r="H50" s="86">
        <v>0</v>
      </c>
      <c r="I50" s="87">
        <f t="shared" ref="I50:I51" si="18">SUMPRODUCT(D$10:H$10,D50:H50)</f>
        <v>8830.2569233555478</v>
      </c>
      <c r="J50" s="89">
        <v>0</v>
      </c>
      <c r="K50" s="90">
        <v>10</v>
      </c>
      <c r="L50" s="91">
        <f t="shared" ref="L50:M51" si="19">J50*$J$10</f>
        <v>0</v>
      </c>
      <c r="M50" s="92">
        <f t="shared" si="19"/>
        <v>8830.2569233555732</v>
      </c>
      <c r="N50" s="23" t="b">
        <f t="shared" si="12"/>
        <v>1</v>
      </c>
      <c r="O50" s="88">
        <f t="shared" ref="O50:O51" si="20">I50/$J$10</f>
        <v>9.9999999999999716</v>
      </c>
    </row>
    <row r="51" spans="3:15" x14ac:dyDescent="0.25">
      <c r="C51" s="85" t="s">
        <v>68</v>
      </c>
      <c r="D51" s="85">
        <v>0</v>
      </c>
      <c r="E51" s="86">
        <v>0</v>
      </c>
      <c r="F51" s="86">
        <v>0</v>
      </c>
      <c r="G51" s="86">
        <v>0</v>
      </c>
      <c r="H51" s="86">
        <v>34.799999999999997</v>
      </c>
      <c r="I51" s="87">
        <f t="shared" si="18"/>
        <v>1626.3154780925306</v>
      </c>
      <c r="J51" s="89">
        <v>0</v>
      </c>
      <c r="K51" s="90">
        <v>2.7</v>
      </c>
      <c r="L51" s="91">
        <f t="shared" si="19"/>
        <v>0</v>
      </c>
      <c r="M51" s="92">
        <f t="shared" si="19"/>
        <v>2384.1693693060051</v>
      </c>
      <c r="N51" s="23" t="b">
        <f t="shared" si="12"/>
        <v>1</v>
      </c>
      <c r="O51" s="88">
        <f t="shared" si="20"/>
        <v>1.8417532946193336</v>
      </c>
    </row>
    <row r="52" spans="3:15" x14ac:dyDescent="0.25">
      <c r="C52" s="6" t="s">
        <v>14</v>
      </c>
      <c r="D52" s="6">
        <v>4</v>
      </c>
      <c r="E52" s="3">
        <v>80</v>
      </c>
      <c r="F52" s="3">
        <v>8</v>
      </c>
      <c r="G52" s="3">
        <v>70</v>
      </c>
      <c r="H52" s="25">
        <v>180</v>
      </c>
      <c r="I52" s="82">
        <f t="shared" si="10"/>
        <v>44885.52835321203</v>
      </c>
      <c r="J52" s="36">
        <v>20</v>
      </c>
      <c r="K52" s="37">
        <v>48</v>
      </c>
      <c r="L52" s="57">
        <f t="shared" si="11"/>
        <v>23543.175513079848</v>
      </c>
      <c r="M52" s="58">
        <f t="shared" si="11"/>
        <v>56503.62123139164</v>
      </c>
      <c r="N52" s="23" t="b">
        <f t="shared" si="12"/>
        <v>1</v>
      </c>
      <c r="O52" s="78">
        <f t="shared" si="17"/>
        <v>38.130394371205398</v>
      </c>
    </row>
    <row r="53" spans="3:15" x14ac:dyDescent="0.25">
      <c r="C53" s="6" t="s">
        <v>15</v>
      </c>
      <c r="D53" s="6">
        <v>25</v>
      </c>
      <c r="E53" s="3">
        <v>95</v>
      </c>
      <c r="F53" s="3">
        <v>30</v>
      </c>
      <c r="G53" s="3">
        <v>90</v>
      </c>
      <c r="H53" s="25">
        <v>110</v>
      </c>
      <c r="I53" s="82">
        <f t="shared" si="10"/>
        <v>62964.948717639571</v>
      </c>
      <c r="J53" s="36">
        <v>46</v>
      </c>
      <c r="K53" s="37">
        <v>71</v>
      </c>
      <c r="L53" s="57">
        <f t="shared" si="11"/>
        <v>54149.303680083656</v>
      </c>
      <c r="M53" s="58">
        <f t="shared" si="11"/>
        <v>83578.273071433461</v>
      </c>
      <c r="N53" s="23" t="b">
        <f t="shared" si="12"/>
        <v>1</v>
      </c>
      <c r="O53" s="78">
        <f t="shared" si="17"/>
        <v>53.488917569898945</v>
      </c>
    </row>
    <row r="54" spans="3:15" x14ac:dyDescent="0.25">
      <c r="C54" s="8" t="s">
        <v>16</v>
      </c>
      <c r="D54" s="8">
        <v>95</v>
      </c>
      <c r="E54" s="7">
        <v>99</v>
      </c>
      <c r="F54" s="7">
        <v>94</v>
      </c>
      <c r="G54" s="7">
        <v>100</v>
      </c>
      <c r="H54" s="7">
        <v>100</v>
      </c>
      <c r="I54" s="83">
        <f t="shared" si="10"/>
        <v>114074.28532216299</v>
      </c>
      <c r="J54" s="38">
        <v>75</v>
      </c>
      <c r="K54" s="39">
        <v>100</v>
      </c>
      <c r="L54" s="59">
        <f t="shared" si="11"/>
        <v>88286.908174049444</v>
      </c>
      <c r="M54" s="60">
        <f t="shared" si="11"/>
        <v>117715.87756539925</v>
      </c>
      <c r="N54" s="24" t="b">
        <f t="shared" si="12"/>
        <v>1</v>
      </c>
      <c r="O54" s="79">
        <f t="shared" si="17"/>
        <v>96.90645619048874</v>
      </c>
    </row>
    <row r="55" spans="3:15" x14ac:dyDescent="0.25">
      <c r="C55" s="106" t="s">
        <v>10</v>
      </c>
      <c r="D55" s="106">
        <v>30</v>
      </c>
      <c r="E55" s="107">
        <v>70</v>
      </c>
      <c r="F55" s="107">
        <v>40</v>
      </c>
      <c r="G55" s="107">
        <v>70</v>
      </c>
      <c r="H55" s="108">
        <v>150</v>
      </c>
      <c r="I55" s="109"/>
      <c r="J55" s="110">
        <v>45</v>
      </c>
      <c r="K55" s="111">
        <v>60</v>
      </c>
      <c r="L55" s="112"/>
      <c r="M55" s="113"/>
      <c r="N55" s="114" t="b">
        <f>AND(O55&gt;=J55*(1-$U$3),O55&lt;=K55*(1+$U$3))</f>
        <v>1</v>
      </c>
      <c r="O55" s="115">
        <f>O46^(1/1.25)</f>
        <v>52.360215990640164</v>
      </c>
    </row>
    <row r="56" spans="3:15" x14ac:dyDescent="0.25">
      <c r="H56" s="26" t="s">
        <v>23</v>
      </c>
    </row>
    <row r="57" spans="3:15" x14ac:dyDescent="0.25">
      <c r="H57" s="26" t="s">
        <v>135</v>
      </c>
    </row>
  </sheetData>
  <mergeCells count="2">
    <mergeCell ref="B2:C3"/>
    <mergeCell ref="B4:B5"/>
  </mergeCells>
  <conditionalFormatting sqref="N27:N37">
    <cfRule type="cellIs" dxfId="40" priority="7" operator="equal">
      <formula>FALSE</formula>
    </cfRule>
  </conditionalFormatting>
  <conditionalFormatting sqref="L4:L5">
    <cfRule type="cellIs" dxfId="39" priority="6" operator="equal">
      <formula>FALSE</formula>
    </cfRule>
  </conditionalFormatting>
  <conditionalFormatting sqref="D16:H16">
    <cfRule type="cellIs" dxfId="38" priority="5" operator="equal">
      <formula>FALSE</formula>
    </cfRule>
  </conditionalFormatting>
  <conditionalFormatting sqref="N44:N45 N47:N54">
    <cfRule type="cellIs" dxfId="37" priority="4" operator="equal">
      <formula>FALSE</formula>
    </cfRule>
  </conditionalFormatting>
  <conditionalFormatting sqref="N38">
    <cfRule type="cellIs" dxfId="36" priority="3" operator="equal">
      <formula>FALSE</formula>
    </cfRule>
  </conditionalFormatting>
  <conditionalFormatting sqref="N55">
    <cfRule type="cellIs" dxfId="35" priority="2" operator="equal">
      <formula>FALSE</formula>
    </cfRule>
  </conditionalFormatting>
  <conditionalFormatting sqref="N46">
    <cfRule type="cellIs" dxfId="34" priority="1" operator="equal">
      <formula>FALSE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53"/>
  <sheetViews>
    <sheetView showGridLines="0" topLeftCell="B1" zoomScale="85" zoomScaleNormal="85" workbookViewId="0">
      <selection activeCell="D4" sqref="D4:G5"/>
    </sheetView>
  </sheetViews>
  <sheetFormatPr defaultRowHeight="15" x14ac:dyDescent="0.25"/>
  <cols>
    <col min="1" max="1" width="1.7109375" customWidth="1"/>
    <col min="2" max="2" width="3.7109375" bestFit="1" customWidth="1"/>
    <col min="3" max="3" width="23.42578125" bestFit="1" customWidth="1"/>
    <col min="4" max="8" width="12.7109375" customWidth="1"/>
    <col min="9" max="9" width="13.42578125" bestFit="1" customWidth="1"/>
    <col min="10" max="10" width="14.140625" bestFit="1" customWidth="1"/>
    <col min="11" max="13" width="12.42578125" bestFit="1" customWidth="1"/>
    <col min="14" max="14" width="13.5703125" bestFit="1" customWidth="1"/>
    <col min="15" max="15" width="10.140625" bestFit="1" customWidth="1"/>
    <col min="16" max="16" width="16.28515625" bestFit="1" customWidth="1"/>
    <col min="17" max="17" width="14.85546875" bestFit="1" customWidth="1"/>
    <col min="18" max="18" width="11.28515625" customWidth="1"/>
    <col min="19" max="19" width="9.28515625" customWidth="1"/>
    <col min="20" max="20" width="16.7109375" bestFit="1" customWidth="1"/>
    <col min="21" max="21" width="16.85546875" bestFit="1" customWidth="1"/>
  </cols>
  <sheetData>
    <row r="1" spans="2:28" ht="9" customHeight="1" x14ac:dyDescent="0.25"/>
    <row r="2" spans="2:28" x14ac:dyDescent="0.25">
      <c r="B2" s="214" t="s">
        <v>45</v>
      </c>
      <c r="C2" s="215"/>
      <c r="D2" s="15"/>
      <c r="E2" s="16"/>
      <c r="F2" s="17" t="s">
        <v>0</v>
      </c>
      <c r="G2" s="16"/>
      <c r="H2" s="18"/>
      <c r="I2" s="16"/>
      <c r="J2" s="16"/>
      <c r="K2" s="16"/>
      <c r="L2" s="16"/>
      <c r="M2" s="16"/>
      <c r="N2" s="18"/>
      <c r="P2" s="67" t="s">
        <v>48</v>
      </c>
      <c r="T2" s="13" t="s">
        <v>53</v>
      </c>
      <c r="X2" s="13" t="s">
        <v>30</v>
      </c>
    </row>
    <row r="3" spans="2:28" x14ac:dyDescent="0.25">
      <c r="B3" s="216"/>
      <c r="C3" s="217"/>
      <c r="D3" s="9" t="s">
        <v>2</v>
      </c>
      <c r="E3" s="10" t="s">
        <v>3</v>
      </c>
      <c r="F3" s="10" t="s">
        <v>4</v>
      </c>
      <c r="G3" s="10" t="s">
        <v>5</v>
      </c>
      <c r="H3" s="11" t="s">
        <v>6</v>
      </c>
      <c r="I3" s="10" t="s">
        <v>107</v>
      </c>
      <c r="J3" s="10" t="s">
        <v>108</v>
      </c>
      <c r="K3" s="10" t="s">
        <v>109</v>
      </c>
      <c r="L3" s="10" t="s">
        <v>110</v>
      </c>
      <c r="M3" s="10" t="s">
        <v>111</v>
      </c>
      <c r="N3" s="11" t="s">
        <v>112</v>
      </c>
      <c r="P3" s="63" t="s">
        <v>41</v>
      </c>
      <c r="Q3" s="63" t="s">
        <v>42</v>
      </c>
      <c r="R3" s="63" t="s">
        <v>43</v>
      </c>
      <c r="T3" s="63" t="s">
        <v>51</v>
      </c>
      <c r="U3" s="63" t="s">
        <v>52</v>
      </c>
      <c r="X3" t="s">
        <v>71</v>
      </c>
      <c r="AA3" s="105">
        <v>9.9999999999999995E-7</v>
      </c>
      <c r="AB3" t="s">
        <v>72</v>
      </c>
    </row>
    <row r="4" spans="2:28" ht="18" customHeight="1" x14ac:dyDescent="0.25">
      <c r="B4" s="212" t="s">
        <v>44</v>
      </c>
      <c r="C4" s="65" t="s">
        <v>46</v>
      </c>
      <c r="D4" s="74">
        <v>1046.4135021088398</v>
      </c>
      <c r="E4" s="75">
        <v>0</v>
      </c>
      <c r="F4" s="75">
        <v>0</v>
      </c>
      <c r="G4" s="75">
        <v>837.13080168707245</v>
      </c>
      <c r="H4" s="140"/>
      <c r="I4" s="74">
        <v>0</v>
      </c>
      <c r="J4" s="75">
        <v>0</v>
      </c>
      <c r="K4" s="75">
        <v>0</v>
      </c>
      <c r="L4" s="75">
        <v>0</v>
      </c>
      <c r="M4" s="75">
        <v>0</v>
      </c>
      <c r="N4" s="75">
        <v>209.28270042176032</v>
      </c>
      <c r="P4" s="69">
        <f>SUM(D4:N4)</f>
        <v>2092.8270042176723</v>
      </c>
      <c r="Q4" s="51">
        <v>2500</v>
      </c>
      <c r="R4" s="22" t="b">
        <f t="shared" ref="R4:R5" si="0">P4&lt;=Q4*(1+$AA$3)</f>
        <v>1</v>
      </c>
      <c r="T4" s="51">
        <v>425</v>
      </c>
      <c r="U4" s="69">
        <f>T4*P4</f>
        <v>889451.47679251072</v>
      </c>
    </row>
    <row r="5" spans="2:28" ht="18" customHeight="1" x14ac:dyDescent="0.25">
      <c r="B5" s="213"/>
      <c r="C5" s="66" t="s">
        <v>47</v>
      </c>
      <c r="D5" s="74">
        <v>953.58649789115998</v>
      </c>
      <c r="E5" s="75">
        <v>0</v>
      </c>
      <c r="F5" s="75">
        <v>0</v>
      </c>
      <c r="G5" s="75">
        <v>1162.8691983129277</v>
      </c>
      <c r="H5" s="140"/>
      <c r="I5" s="74">
        <v>0</v>
      </c>
      <c r="J5" s="75">
        <v>0</v>
      </c>
      <c r="K5" s="75">
        <v>0</v>
      </c>
      <c r="L5" s="75">
        <v>111.39240506368695</v>
      </c>
      <c r="M5" s="75">
        <v>0</v>
      </c>
      <c r="N5" s="75">
        <v>0</v>
      </c>
      <c r="P5" s="69">
        <f>SUM(D5:N5)</f>
        <v>2227.8481012677748</v>
      </c>
      <c r="Q5" s="51">
        <v>4000</v>
      </c>
      <c r="R5" s="28" t="b">
        <f t="shared" si="0"/>
        <v>1</v>
      </c>
      <c r="T5" s="51">
        <v>429</v>
      </c>
      <c r="U5" s="69">
        <f>T5*P5</f>
        <v>955746.8354438754</v>
      </c>
    </row>
    <row r="6" spans="2:28" x14ac:dyDescent="0.25">
      <c r="G6" s="26"/>
      <c r="H6" s="26" t="s">
        <v>113</v>
      </c>
      <c r="I6" s="75">
        <v>0</v>
      </c>
      <c r="J6" s="75">
        <v>0</v>
      </c>
      <c r="K6" s="75">
        <v>0</v>
      </c>
      <c r="L6" s="75">
        <v>0</v>
      </c>
      <c r="M6" s="75">
        <v>0</v>
      </c>
      <c r="N6" s="75">
        <v>1</v>
      </c>
      <c r="O6" s="69">
        <f>SUM(I6:N6)</f>
        <v>1</v>
      </c>
    </row>
    <row r="7" spans="2:28" x14ac:dyDescent="0.25">
      <c r="G7" s="26"/>
      <c r="H7" s="26" t="s">
        <v>114</v>
      </c>
      <c r="I7" s="75">
        <v>0</v>
      </c>
      <c r="J7" s="75">
        <v>0</v>
      </c>
      <c r="K7" s="75">
        <v>0</v>
      </c>
      <c r="L7" s="75">
        <v>1</v>
      </c>
      <c r="M7" s="75">
        <v>0</v>
      </c>
      <c r="N7" s="75">
        <v>0</v>
      </c>
      <c r="O7" s="69">
        <f>SUM(I7:N7)</f>
        <v>1</v>
      </c>
    </row>
    <row r="8" spans="2:28" x14ac:dyDescent="0.25">
      <c r="H8" s="26" t="s">
        <v>115</v>
      </c>
      <c r="I8" s="141">
        <v>0</v>
      </c>
      <c r="J8" s="141">
        <f>I9</f>
        <v>1.4999999999999999E-2</v>
      </c>
      <c r="K8" s="141">
        <f t="shared" ref="K8:N8" si="1">J9</f>
        <v>0.03</v>
      </c>
      <c r="L8" s="141">
        <f t="shared" si="1"/>
        <v>0.05</v>
      </c>
      <c r="M8" s="141">
        <f t="shared" si="1"/>
        <v>7.0000000000000007E-2</v>
      </c>
      <c r="N8" s="141">
        <f t="shared" si="1"/>
        <v>0.09</v>
      </c>
    </row>
    <row r="9" spans="2:28" x14ac:dyDescent="0.25">
      <c r="H9" s="26" t="s">
        <v>116</v>
      </c>
      <c r="I9" s="141">
        <v>1.4999999999999999E-2</v>
      </c>
      <c r="J9" s="141">
        <v>0.03</v>
      </c>
      <c r="K9" s="141">
        <v>0.05</v>
      </c>
      <c r="L9" s="141">
        <v>7.0000000000000007E-2</v>
      </c>
      <c r="M9" s="141">
        <v>0.09</v>
      </c>
      <c r="N9" s="141">
        <v>0.1</v>
      </c>
    </row>
    <row r="10" spans="2:28" x14ac:dyDescent="0.25">
      <c r="F10" s="26" t="s">
        <v>117</v>
      </c>
      <c r="G10" s="51">
        <f>SUM(Q4:Q5)</f>
        <v>6500</v>
      </c>
      <c r="H10" s="142" t="s">
        <v>118</v>
      </c>
      <c r="I10" s="69">
        <f t="shared" ref="I10:N11" si="2">$G$10*I6</f>
        <v>0</v>
      </c>
      <c r="J10" s="69">
        <f t="shared" si="2"/>
        <v>0</v>
      </c>
      <c r="K10" s="69">
        <f t="shared" si="2"/>
        <v>0</v>
      </c>
      <c r="L10" s="69">
        <f t="shared" si="2"/>
        <v>0</v>
      </c>
      <c r="M10" s="69">
        <f t="shared" si="2"/>
        <v>0</v>
      </c>
      <c r="N10" s="69">
        <f t="shared" si="2"/>
        <v>6500</v>
      </c>
    </row>
    <row r="11" spans="2:28" x14ac:dyDescent="0.25">
      <c r="H11" s="142" t="s">
        <v>119</v>
      </c>
      <c r="I11" s="69">
        <f t="shared" si="2"/>
        <v>0</v>
      </c>
      <c r="J11" s="69">
        <f t="shared" si="2"/>
        <v>0</v>
      </c>
      <c r="K11" s="69">
        <f t="shared" si="2"/>
        <v>0</v>
      </c>
      <c r="L11" s="69">
        <f t="shared" si="2"/>
        <v>6500</v>
      </c>
      <c r="M11" s="69">
        <f t="shared" si="2"/>
        <v>0</v>
      </c>
      <c r="N11" s="69">
        <f t="shared" si="2"/>
        <v>0</v>
      </c>
    </row>
    <row r="12" spans="2:28" x14ac:dyDescent="0.25">
      <c r="H12" s="142" t="s">
        <v>120</v>
      </c>
      <c r="I12" s="69">
        <f t="shared" ref="I12:N13" si="3">I$9*$P4</f>
        <v>31.392405063265084</v>
      </c>
      <c r="J12" s="69">
        <f t="shared" si="3"/>
        <v>62.784810126530168</v>
      </c>
      <c r="K12" s="69">
        <f t="shared" si="3"/>
        <v>104.64135021088362</v>
      </c>
      <c r="L12" s="69">
        <f t="shared" si="3"/>
        <v>146.49789029523708</v>
      </c>
      <c r="M12" s="69">
        <f t="shared" si="3"/>
        <v>188.3544303795905</v>
      </c>
      <c r="N12" s="69">
        <f t="shared" si="3"/>
        <v>209.28270042176723</v>
      </c>
    </row>
    <row r="13" spans="2:28" x14ac:dyDescent="0.25">
      <c r="H13" s="142" t="s">
        <v>121</v>
      </c>
      <c r="I13" s="69">
        <f t="shared" si="3"/>
        <v>33.417721519016624</v>
      </c>
      <c r="J13" s="69">
        <f t="shared" si="3"/>
        <v>66.835443038033247</v>
      </c>
      <c r="K13" s="69">
        <f t="shared" si="3"/>
        <v>111.39240506338875</v>
      </c>
      <c r="L13" s="69">
        <f t="shared" si="3"/>
        <v>155.94936708874425</v>
      </c>
      <c r="M13" s="69">
        <f t="shared" si="3"/>
        <v>200.50632911409971</v>
      </c>
      <c r="N13" s="69">
        <f t="shared" si="3"/>
        <v>222.7848101267775</v>
      </c>
    </row>
    <row r="14" spans="2:28" x14ac:dyDescent="0.25">
      <c r="H14" s="142" t="s">
        <v>122</v>
      </c>
      <c r="I14" s="69">
        <f t="shared" ref="I14:N15" si="4">I$8*$P4-(1-I6)*$G$10</f>
        <v>-6500</v>
      </c>
      <c r="J14" s="69">
        <f t="shared" si="4"/>
        <v>-6468.607594936735</v>
      </c>
      <c r="K14" s="69">
        <f t="shared" si="4"/>
        <v>-6437.2151898734701</v>
      </c>
      <c r="L14" s="69">
        <f t="shared" si="4"/>
        <v>-6395.3586497891165</v>
      </c>
      <c r="M14" s="69">
        <f t="shared" si="4"/>
        <v>-6353.5021097047629</v>
      </c>
      <c r="N14" s="69">
        <f t="shared" si="4"/>
        <v>188.3544303795905</v>
      </c>
    </row>
    <row r="15" spans="2:28" x14ac:dyDescent="0.25">
      <c r="H15" s="142" t="s">
        <v>123</v>
      </c>
      <c r="I15" s="69">
        <f t="shared" si="4"/>
        <v>-6500</v>
      </c>
      <c r="J15" s="69">
        <f t="shared" si="4"/>
        <v>-6466.5822784809834</v>
      </c>
      <c r="K15" s="69">
        <f t="shared" si="4"/>
        <v>-6433.1645569619668</v>
      </c>
      <c r="L15" s="69">
        <f t="shared" si="4"/>
        <v>111.39240506338875</v>
      </c>
      <c r="M15" s="69">
        <f t="shared" si="4"/>
        <v>-6344.0506329112559</v>
      </c>
      <c r="N15" s="69">
        <f t="shared" si="4"/>
        <v>-6299.4936708859004</v>
      </c>
    </row>
    <row r="16" spans="2:28" x14ac:dyDescent="0.25">
      <c r="H16" s="142" t="s">
        <v>124</v>
      </c>
      <c r="I16" s="28" t="b">
        <f t="shared" ref="I16:N17" si="5">AND(I4&lt;=I10*(1+$AA$3),I4&lt;=I12*(1+$AA$3),I4&gt;=I14*(1-$AA$3))</f>
        <v>1</v>
      </c>
      <c r="J16" s="28" t="b">
        <f t="shared" si="5"/>
        <v>1</v>
      </c>
      <c r="K16" s="28" t="b">
        <f t="shared" si="5"/>
        <v>1</v>
      </c>
      <c r="L16" s="28" t="b">
        <f t="shared" si="5"/>
        <v>1</v>
      </c>
      <c r="M16" s="28" t="b">
        <f t="shared" si="5"/>
        <v>1</v>
      </c>
      <c r="N16" s="28" t="b">
        <f t="shared" si="5"/>
        <v>1</v>
      </c>
    </row>
    <row r="17" spans="3:21" x14ac:dyDescent="0.25">
      <c r="H17" s="142" t="s">
        <v>125</v>
      </c>
      <c r="I17" s="28" t="b">
        <f t="shared" si="5"/>
        <v>1</v>
      </c>
      <c r="J17" s="28" t="b">
        <f t="shared" si="5"/>
        <v>1</v>
      </c>
      <c r="K17" s="28" t="b">
        <f t="shared" si="5"/>
        <v>1</v>
      </c>
      <c r="L17" s="28" t="b">
        <f t="shared" si="5"/>
        <v>1</v>
      </c>
      <c r="M17" s="28" t="b">
        <f t="shared" si="5"/>
        <v>1</v>
      </c>
      <c r="N17" s="28" t="b">
        <f t="shared" si="5"/>
        <v>1</v>
      </c>
    </row>
    <row r="18" spans="3:21" x14ac:dyDescent="0.25">
      <c r="C18" s="67" t="s">
        <v>49</v>
      </c>
    </row>
    <row r="19" spans="3:21" ht="15" customHeight="1" x14ac:dyDescent="0.25">
      <c r="C19" s="61" t="s">
        <v>40</v>
      </c>
      <c r="D19" s="69">
        <f>SUM(D4:D5)</f>
        <v>1999.9999999999998</v>
      </c>
      <c r="E19" s="69">
        <f>SUM(E4:E5)</f>
        <v>0</v>
      </c>
      <c r="F19" s="69">
        <f>SUM(F4:F5)</f>
        <v>0</v>
      </c>
      <c r="G19" s="69">
        <f>SUM(G4:G5)</f>
        <v>2000</v>
      </c>
      <c r="H19" s="69">
        <f>SUM(I4:N5)</f>
        <v>320.67510548544726</v>
      </c>
    </row>
    <row r="20" spans="3:21" ht="15" customHeight="1" x14ac:dyDescent="0.25">
      <c r="C20" s="61" t="s">
        <v>50</v>
      </c>
      <c r="D20" s="51">
        <v>2000</v>
      </c>
      <c r="E20" s="51">
        <v>1000</v>
      </c>
      <c r="F20" s="51">
        <v>2000</v>
      </c>
      <c r="G20" s="51">
        <v>2000</v>
      </c>
      <c r="H20" s="51">
        <v>1000</v>
      </c>
    </row>
    <row r="21" spans="3:21" ht="15" customHeight="1" x14ac:dyDescent="0.25">
      <c r="C21" s="61" t="s">
        <v>43</v>
      </c>
      <c r="D21" s="28" t="b">
        <f t="shared" ref="D21:H21" si="6">D19&lt;=D20*(1+$AA$3)</f>
        <v>1</v>
      </c>
      <c r="E21" s="28" t="b">
        <f t="shared" si="6"/>
        <v>1</v>
      </c>
      <c r="F21" s="28" t="b">
        <f t="shared" si="6"/>
        <v>1</v>
      </c>
      <c r="G21" s="28" t="b">
        <f t="shared" si="6"/>
        <v>1</v>
      </c>
      <c r="H21" s="28" t="b">
        <f t="shared" si="6"/>
        <v>1</v>
      </c>
    </row>
    <row r="22" spans="3:21" ht="15" customHeight="1" x14ac:dyDescent="0.25"/>
    <row r="23" spans="3:21" ht="15" customHeight="1" x14ac:dyDescent="0.25">
      <c r="C23" s="13" t="s">
        <v>54</v>
      </c>
    </row>
    <row r="24" spans="3:21" ht="15" customHeight="1" x14ac:dyDescent="0.25">
      <c r="C24" s="14" t="s">
        <v>86</v>
      </c>
      <c r="D24" s="51">
        <v>420</v>
      </c>
      <c r="E24" s="51">
        <v>435</v>
      </c>
      <c r="F24" s="51">
        <v>440</v>
      </c>
      <c r="G24" s="51">
        <v>423</v>
      </c>
      <c r="H24" s="51">
        <v>350</v>
      </c>
      <c r="P24" s="27"/>
      <c r="R24" s="27"/>
      <c r="T24" s="13" t="s">
        <v>55</v>
      </c>
    </row>
    <row r="25" spans="3:21" x14ac:dyDescent="0.25">
      <c r="C25" s="14" t="s">
        <v>58</v>
      </c>
      <c r="D25" s="69">
        <f t="shared" ref="D25:G25" si="7">D24*D19</f>
        <v>839999.99999999988</v>
      </c>
      <c r="E25" s="69">
        <f t="shared" si="7"/>
        <v>0</v>
      </c>
      <c r="F25" s="69">
        <f t="shared" si="7"/>
        <v>0</v>
      </c>
      <c r="G25" s="69">
        <f t="shared" si="7"/>
        <v>846000</v>
      </c>
      <c r="H25" s="69">
        <f>H24*H19</f>
        <v>112236.28691990655</v>
      </c>
      <c r="P25" s="27"/>
      <c r="R25" s="27"/>
      <c r="T25" s="62" t="s">
        <v>56</v>
      </c>
      <c r="U25" s="50">
        <f>SUM(U4:U5)-SUM(D25:N25)</f>
        <v>46962.025316479616</v>
      </c>
    </row>
    <row r="29" spans="3:21" x14ac:dyDescent="0.25">
      <c r="C29" s="13" t="s">
        <v>59</v>
      </c>
      <c r="O29" s="76" t="s">
        <v>62</v>
      </c>
      <c r="P29" s="31" t="s">
        <v>19</v>
      </c>
      <c r="Q29" s="16"/>
      <c r="R29" s="31" t="s">
        <v>38</v>
      </c>
      <c r="S29" s="16"/>
      <c r="T29" s="68" t="s">
        <v>21</v>
      </c>
      <c r="U29" s="76" t="s">
        <v>61</v>
      </c>
    </row>
    <row r="30" spans="3:21" x14ac:dyDescent="0.25">
      <c r="O30" s="80" t="s">
        <v>63</v>
      </c>
      <c r="P30" s="19" t="s">
        <v>7</v>
      </c>
      <c r="Q30" s="40" t="s">
        <v>8</v>
      </c>
      <c r="R30" s="19" t="s">
        <v>7</v>
      </c>
      <c r="S30" s="40" t="s">
        <v>8</v>
      </c>
      <c r="T30" s="64"/>
      <c r="U30" s="64"/>
    </row>
    <row r="31" spans="3:21" x14ac:dyDescent="0.25">
      <c r="C31" s="21" t="s">
        <v>9</v>
      </c>
      <c r="D31" s="1">
        <v>0.79</v>
      </c>
      <c r="E31" s="2">
        <v>0.68</v>
      </c>
      <c r="F31" s="2">
        <v>0.7</v>
      </c>
      <c r="G31" s="2">
        <v>0.68</v>
      </c>
      <c r="H31" s="2"/>
      <c r="I31" s="2">
        <v>0.79400000000000004</v>
      </c>
      <c r="J31" s="2">
        <v>0.79400000000000004</v>
      </c>
      <c r="K31" s="2">
        <v>0.79400000000000004</v>
      </c>
      <c r="L31" s="2">
        <v>0.79400000000000004</v>
      </c>
      <c r="M31" s="2">
        <v>0.79400000000000004</v>
      </c>
      <c r="N31" s="2">
        <v>0.79400000000000004</v>
      </c>
      <c r="O31" s="81">
        <f t="shared" ref="O31:O39" si="8">SUMPRODUCT(D$4:N$4,D31:N31)</f>
        <v>1562.0860759480704</v>
      </c>
      <c r="P31" s="32">
        <v>0.72</v>
      </c>
      <c r="Q31" s="33">
        <v>0.77500000000000002</v>
      </c>
      <c r="R31" s="55">
        <f t="shared" ref="R31:S39" si="9">P31*$P$4</f>
        <v>1506.835443036724</v>
      </c>
      <c r="S31" s="56">
        <f t="shared" si="9"/>
        <v>1621.9409282686961</v>
      </c>
      <c r="T31" s="22" t="b">
        <f t="shared" ref="T31:T39" si="10">AND(O31&gt;=R31*(1-$AA$3),O31&lt;=S31*(1+$AA$3))</f>
        <v>1</v>
      </c>
      <c r="U31" s="77">
        <f t="shared" ref="U31:U39" si="11">O31/$P$4</f>
        <v>0.74639999999999995</v>
      </c>
    </row>
    <row r="32" spans="3:21" x14ac:dyDescent="0.25">
      <c r="C32" s="6" t="s">
        <v>73</v>
      </c>
      <c r="D32" s="4">
        <v>96</v>
      </c>
      <c r="E32" s="5">
        <v>88</v>
      </c>
      <c r="F32" s="5">
        <v>101</v>
      </c>
      <c r="G32" s="5">
        <v>93</v>
      </c>
      <c r="H32" s="5"/>
      <c r="I32" s="5">
        <v>112</v>
      </c>
      <c r="J32" s="5">
        <v>112</v>
      </c>
      <c r="K32" s="5">
        <v>112</v>
      </c>
      <c r="L32" s="5">
        <v>112</v>
      </c>
      <c r="M32" s="5">
        <v>112</v>
      </c>
      <c r="N32" s="5">
        <v>112</v>
      </c>
      <c r="O32" s="82">
        <f t="shared" si="8"/>
        <v>201748.52320658352</v>
      </c>
      <c r="P32" s="34">
        <v>95</v>
      </c>
      <c r="Q32" s="35">
        <v>999</v>
      </c>
      <c r="R32" s="57">
        <f t="shared" si="9"/>
        <v>198818.56540067887</v>
      </c>
      <c r="S32" s="58">
        <f t="shared" si="9"/>
        <v>2090734.1772134546</v>
      </c>
      <c r="T32" s="23" t="b">
        <f t="shared" si="10"/>
        <v>1</v>
      </c>
      <c r="U32" s="78">
        <f t="shared" si="11"/>
        <v>96.399999999999949</v>
      </c>
    </row>
    <row r="33" spans="3:21" x14ac:dyDescent="0.25">
      <c r="C33" s="6" t="s">
        <v>10</v>
      </c>
      <c r="D33" s="6">
        <v>30</v>
      </c>
      <c r="E33" s="3">
        <v>70</v>
      </c>
      <c r="F33" s="3">
        <v>40</v>
      </c>
      <c r="G33" s="3">
        <v>70</v>
      </c>
      <c r="H33" s="25"/>
      <c r="I33" s="25">
        <v>150</v>
      </c>
      <c r="J33" s="25">
        <v>150</v>
      </c>
      <c r="K33" s="25">
        <v>150</v>
      </c>
      <c r="L33" s="25">
        <v>150</v>
      </c>
      <c r="M33" s="25">
        <v>150</v>
      </c>
      <c r="N33" s="25">
        <v>150</v>
      </c>
      <c r="O33" s="82">
        <f t="shared" si="8"/>
        <v>121383.96624462432</v>
      </c>
      <c r="P33" s="36">
        <v>45</v>
      </c>
      <c r="Q33" s="37">
        <v>60</v>
      </c>
      <c r="R33" s="57">
        <f t="shared" si="9"/>
        <v>94177.215189795257</v>
      </c>
      <c r="S33" s="58">
        <f t="shared" si="9"/>
        <v>125569.62025306033</v>
      </c>
      <c r="T33" s="23" t="b">
        <f t="shared" si="10"/>
        <v>1</v>
      </c>
      <c r="U33" s="78">
        <f t="shared" si="11"/>
        <v>57.999999999999673</v>
      </c>
    </row>
    <row r="34" spans="3:21" x14ac:dyDescent="0.25">
      <c r="C34" s="6" t="s">
        <v>11</v>
      </c>
      <c r="D34" s="6">
        <v>58</v>
      </c>
      <c r="E34" s="3">
        <v>1.5</v>
      </c>
      <c r="F34" s="3">
        <v>0.1</v>
      </c>
      <c r="G34" s="3">
        <v>1</v>
      </c>
      <c r="H34" s="3"/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82">
        <f t="shared" si="8"/>
        <v>61529.113923999786</v>
      </c>
      <c r="P34" s="36">
        <v>0</v>
      </c>
      <c r="Q34" s="37">
        <v>35</v>
      </c>
      <c r="R34" s="57">
        <f t="shared" si="9"/>
        <v>0</v>
      </c>
      <c r="S34" s="58">
        <f t="shared" si="9"/>
        <v>73248.945147618535</v>
      </c>
      <c r="T34" s="23" t="b">
        <f t="shared" si="10"/>
        <v>1</v>
      </c>
      <c r="U34" s="78">
        <f t="shared" si="11"/>
        <v>29.400000000000105</v>
      </c>
    </row>
    <row r="35" spans="3:21" x14ac:dyDescent="0.25">
      <c r="C35" s="6" t="s">
        <v>12</v>
      </c>
      <c r="D35" s="6">
        <v>1.5</v>
      </c>
      <c r="E35" s="3">
        <v>0.1</v>
      </c>
      <c r="F35" s="3">
        <v>0.1</v>
      </c>
      <c r="G35" s="3">
        <v>0.5</v>
      </c>
      <c r="H35" s="3"/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82">
        <f t="shared" si="8"/>
        <v>1988.1856540067961</v>
      </c>
      <c r="P35" s="36">
        <v>0</v>
      </c>
      <c r="Q35" s="37">
        <v>1</v>
      </c>
      <c r="R35" s="57">
        <f t="shared" si="9"/>
        <v>0</v>
      </c>
      <c r="S35" s="58">
        <f t="shared" si="9"/>
        <v>2092.8270042176723</v>
      </c>
      <c r="T35" s="23" t="b">
        <f t="shared" si="10"/>
        <v>1</v>
      </c>
      <c r="U35" s="78">
        <f t="shared" si="11"/>
        <v>0.95000000000000351</v>
      </c>
    </row>
    <row r="36" spans="3:21" x14ac:dyDescent="0.25">
      <c r="C36" s="6" t="s">
        <v>13</v>
      </c>
      <c r="D36" s="6">
        <v>0</v>
      </c>
      <c r="E36" s="3">
        <v>0</v>
      </c>
      <c r="F36" s="3">
        <v>0</v>
      </c>
      <c r="G36" s="3">
        <v>0</v>
      </c>
      <c r="H36" s="3"/>
      <c r="I36" s="3">
        <v>100</v>
      </c>
      <c r="J36" s="3">
        <v>100</v>
      </c>
      <c r="K36" s="3">
        <v>100</v>
      </c>
      <c r="L36" s="3">
        <v>100</v>
      </c>
      <c r="M36" s="3">
        <v>100</v>
      </c>
      <c r="N36" s="3">
        <v>100</v>
      </c>
      <c r="O36" s="82">
        <f t="shared" si="8"/>
        <v>20928.270042176031</v>
      </c>
      <c r="P36" s="36">
        <v>0</v>
      </c>
      <c r="Q36" s="37">
        <v>10</v>
      </c>
      <c r="R36" s="57">
        <f t="shared" si="9"/>
        <v>0</v>
      </c>
      <c r="S36" s="58">
        <f t="shared" si="9"/>
        <v>20928.270042176722</v>
      </c>
      <c r="T36" s="23" t="b">
        <f t="shared" si="10"/>
        <v>1</v>
      </c>
      <c r="U36" s="78">
        <f t="shared" si="11"/>
        <v>9.9999999999996696</v>
      </c>
    </row>
    <row r="37" spans="3:21" x14ac:dyDescent="0.25">
      <c r="C37" s="6" t="s">
        <v>14</v>
      </c>
      <c r="D37" s="6">
        <v>4</v>
      </c>
      <c r="E37" s="3">
        <v>80</v>
      </c>
      <c r="F37" s="3">
        <v>8</v>
      </c>
      <c r="G37" s="3">
        <v>70</v>
      </c>
      <c r="H37" s="25"/>
      <c r="I37" s="143">
        <v>250</v>
      </c>
      <c r="J37" s="143">
        <v>225</v>
      </c>
      <c r="K37" s="143">
        <v>205</v>
      </c>
      <c r="L37" s="143">
        <v>195</v>
      </c>
      <c r="M37" s="143">
        <v>185</v>
      </c>
      <c r="N37" s="143">
        <v>180</v>
      </c>
      <c r="O37" s="82">
        <f t="shared" si="8"/>
        <v>100455.69620244729</v>
      </c>
      <c r="P37" s="36">
        <v>20</v>
      </c>
      <c r="Q37" s="37">
        <v>48</v>
      </c>
      <c r="R37" s="57">
        <f t="shared" si="9"/>
        <v>41856.540084353444</v>
      </c>
      <c r="S37" s="58">
        <f t="shared" si="9"/>
        <v>100455.69620244828</v>
      </c>
      <c r="T37" s="23" t="b">
        <f t="shared" si="10"/>
        <v>1</v>
      </c>
      <c r="U37" s="78">
        <f t="shared" si="11"/>
        <v>47.999999999999531</v>
      </c>
    </row>
    <row r="38" spans="3:21" x14ac:dyDescent="0.25">
      <c r="C38" s="6" t="s">
        <v>15</v>
      </c>
      <c r="D38" s="6">
        <v>25</v>
      </c>
      <c r="E38" s="3">
        <v>95</v>
      </c>
      <c r="F38" s="3">
        <v>30</v>
      </c>
      <c r="G38" s="3">
        <v>90</v>
      </c>
      <c r="H38" s="25"/>
      <c r="I38" s="25">
        <v>110</v>
      </c>
      <c r="J38" s="25">
        <v>110</v>
      </c>
      <c r="K38" s="25">
        <v>110</v>
      </c>
      <c r="L38" s="25">
        <v>110</v>
      </c>
      <c r="M38" s="25">
        <v>110</v>
      </c>
      <c r="N38" s="25">
        <v>110</v>
      </c>
      <c r="O38" s="82">
        <f t="shared" si="8"/>
        <v>124523.20675095115</v>
      </c>
      <c r="P38" s="36">
        <v>46</v>
      </c>
      <c r="Q38" s="37">
        <v>71</v>
      </c>
      <c r="R38" s="57">
        <f t="shared" si="9"/>
        <v>96270.042194012931</v>
      </c>
      <c r="S38" s="58">
        <f t="shared" si="9"/>
        <v>148590.71729945473</v>
      </c>
      <c r="T38" s="23" t="b">
        <f t="shared" si="10"/>
        <v>1</v>
      </c>
      <c r="U38" s="78">
        <f t="shared" si="11"/>
        <v>59.499999999999837</v>
      </c>
    </row>
    <row r="39" spans="3:21" x14ac:dyDescent="0.25">
      <c r="C39" s="8" t="s">
        <v>16</v>
      </c>
      <c r="D39" s="8">
        <v>95</v>
      </c>
      <c r="E39" s="7">
        <v>99</v>
      </c>
      <c r="F39" s="7">
        <v>94</v>
      </c>
      <c r="G39" s="7">
        <v>100</v>
      </c>
      <c r="H39" s="7"/>
      <c r="I39" s="7">
        <v>100</v>
      </c>
      <c r="J39" s="7">
        <v>100</v>
      </c>
      <c r="K39" s="7">
        <v>100</v>
      </c>
      <c r="L39" s="7">
        <v>100</v>
      </c>
      <c r="M39" s="7">
        <v>100</v>
      </c>
      <c r="N39" s="7">
        <v>100</v>
      </c>
      <c r="O39" s="83">
        <f t="shared" si="8"/>
        <v>204050.63291122307</v>
      </c>
      <c r="P39" s="38">
        <v>75</v>
      </c>
      <c r="Q39" s="39">
        <v>100</v>
      </c>
      <c r="R39" s="59">
        <f t="shared" si="9"/>
        <v>156962.02531632542</v>
      </c>
      <c r="S39" s="60">
        <f t="shared" si="9"/>
        <v>209282.70042176722</v>
      </c>
      <c r="T39" s="24" t="b">
        <f t="shared" si="10"/>
        <v>1</v>
      </c>
      <c r="U39" s="79">
        <f t="shared" si="11"/>
        <v>97.500000000000014</v>
      </c>
    </row>
    <row r="40" spans="3:21" x14ac:dyDescent="0.25">
      <c r="H40" s="26"/>
      <c r="I40" s="26"/>
      <c r="J40" s="26"/>
      <c r="K40" s="26"/>
      <c r="L40" s="26"/>
      <c r="M40" s="26"/>
      <c r="N40" s="26" t="s">
        <v>23</v>
      </c>
    </row>
    <row r="42" spans="3:21" x14ac:dyDescent="0.25">
      <c r="C42" s="13" t="s">
        <v>60</v>
      </c>
      <c r="O42" s="76" t="s">
        <v>62</v>
      </c>
      <c r="P42" s="31" t="s">
        <v>19</v>
      </c>
      <c r="Q42" s="16"/>
      <c r="R42" s="31" t="s">
        <v>38</v>
      </c>
      <c r="S42" s="16"/>
      <c r="T42" s="68" t="s">
        <v>21</v>
      </c>
      <c r="U42" s="76" t="s">
        <v>61</v>
      </c>
    </row>
    <row r="43" spans="3:21" x14ac:dyDescent="0.25">
      <c r="O43" s="80" t="s">
        <v>63</v>
      </c>
      <c r="P43" s="19" t="s">
        <v>7</v>
      </c>
      <c r="Q43" s="40" t="s">
        <v>8</v>
      </c>
      <c r="R43" s="19" t="s">
        <v>7</v>
      </c>
      <c r="S43" s="40" t="s">
        <v>8</v>
      </c>
      <c r="T43" s="64"/>
      <c r="U43" s="64"/>
    </row>
    <row r="44" spans="3:21" x14ac:dyDescent="0.25">
      <c r="C44" s="21" t="s">
        <v>9</v>
      </c>
      <c r="D44" s="1">
        <v>0.79</v>
      </c>
      <c r="E44" s="2">
        <v>0.68</v>
      </c>
      <c r="F44" s="2">
        <v>0.7</v>
      </c>
      <c r="G44" s="2">
        <v>0.68</v>
      </c>
      <c r="H44" s="2"/>
      <c r="I44" s="2">
        <v>0.79400000000000004</v>
      </c>
      <c r="J44" s="2">
        <v>0.79400000000000004</v>
      </c>
      <c r="K44" s="2">
        <v>0.79400000000000004</v>
      </c>
      <c r="L44" s="2">
        <v>0.79400000000000004</v>
      </c>
      <c r="M44" s="2">
        <v>0.79400000000000004</v>
      </c>
      <c r="N44" s="2">
        <v>0.79400000000000004</v>
      </c>
      <c r="O44" s="81">
        <f t="shared" ref="O44:O52" si="12">SUMPRODUCT(D$5:N$5,D44:N44)</f>
        <v>1632.5299578073748</v>
      </c>
      <c r="P44" s="32">
        <v>0.72</v>
      </c>
      <c r="Q44" s="33">
        <v>0.77500000000000002</v>
      </c>
      <c r="R44" s="55">
        <f t="shared" ref="R44:S52" si="13">P44*$P$5</f>
        <v>1604.0506329127977</v>
      </c>
      <c r="S44" s="56">
        <f t="shared" si="13"/>
        <v>1726.5822784825255</v>
      </c>
      <c r="T44" s="22" t="b">
        <f t="shared" ref="T44:T52" si="14">AND(O44&gt;=R44*(1-$AA$3),O44&lt;=S44*(1+$AA$3))</f>
        <v>1</v>
      </c>
      <c r="U44" s="77">
        <f t="shared" ref="U44:U52" si="15">O44/$P$5</f>
        <v>0.73278333333335</v>
      </c>
    </row>
    <row r="45" spans="3:21" x14ac:dyDescent="0.25">
      <c r="C45" s="6" t="s">
        <v>73</v>
      </c>
      <c r="D45" s="4">
        <v>96</v>
      </c>
      <c r="E45" s="5">
        <v>88</v>
      </c>
      <c r="F45" s="5">
        <v>101</v>
      </c>
      <c r="G45" s="5">
        <v>93</v>
      </c>
      <c r="H45" s="5"/>
      <c r="I45" s="5">
        <v>112</v>
      </c>
      <c r="J45" s="5">
        <v>112</v>
      </c>
      <c r="K45" s="5">
        <v>112</v>
      </c>
      <c r="L45" s="5">
        <v>112</v>
      </c>
      <c r="M45" s="5">
        <v>112</v>
      </c>
      <c r="N45" s="5">
        <v>112</v>
      </c>
      <c r="O45" s="82">
        <f t="shared" si="12"/>
        <v>212167.08860778657</v>
      </c>
      <c r="P45" s="34">
        <v>95</v>
      </c>
      <c r="Q45" s="35">
        <v>999</v>
      </c>
      <c r="R45" s="57">
        <f t="shared" si="13"/>
        <v>211645.56962043862</v>
      </c>
      <c r="S45" s="58">
        <f t="shared" si="13"/>
        <v>2225620.253166507</v>
      </c>
      <c r="T45" s="23" t="b">
        <f t="shared" si="14"/>
        <v>1</v>
      </c>
      <c r="U45" s="78">
        <f t="shared" si="15"/>
        <v>95.234090909093482</v>
      </c>
    </row>
    <row r="46" spans="3:21" x14ac:dyDescent="0.25">
      <c r="C46" s="6" t="s">
        <v>10</v>
      </c>
      <c r="D46" s="6">
        <v>30</v>
      </c>
      <c r="E46" s="3">
        <v>70</v>
      </c>
      <c r="F46" s="3">
        <v>40</v>
      </c>
      <c r="G46" s="3">
        <v>70</v>
      </c>
      <c r="H46" s="25"/>
      <c r="I46" s="25">
        <v>150</v>
      </c>
      <c r="J46" s="25">
        <v>150</v>
      </c>
      <c r="K46" s="25">
        <v>150</v>
      </c>
      <c r="L46" s="25">
        <v>150</v>
      </c>
      <c r="M46" s="25">
        <v>150</v>
      </c>
      <c r="N46" s="25">
        <v>150</v>
      </c>
      <c r="O46" s="82">
        <f t="shared" si="12"/>
        <v>126717.29957819276</v>
      </c>
      <c r="P46" s="36">
        <v>45</v>
      </c>
      <c r="Q46" s="37">
        <v>60</v>
      </c>
      <c r="R46" s="57">
        <f t="shared" si="13"/>
        <v>100253.16455704987</v>
      </c>
      <c r="S46" s="58">
        <f t="shared" si="13"/>
        <v>133670.8860760665</v>
      </c>
      <c r="T46" s="23" t="b">
        <f t="shared" si="14"/>
        <v>1</v>
      </c>
      <c r="U46" s="78">
        <f t="shared" si="15"/>
        <v>56.87878787879805</v>
      </c>
    </row>
    <row r="47" spans="3:21" x14ac:dyDescent="0.25">
      <c r="C47" s="6" t="s">
        <v>11</v>
      </c>
      <c r="D47" s="6">
        <v>58</v>
      </c>
      <c r="E47" s="3">
        <v>1.5</v>
      </c>
      <c r="F47" s="3">
        <v>0.1</v>
      </c>
      <c r="G47" s="3">
        <v>1</v>
      </c>
      <c r="H47" s="3"/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82">
        <f t="shared" si="12"/>
        <v>56470.886076000206</v>
      </c>
      <c r="P47" s="36">
        <v>0</v>
      </c>
      <c r="Q47" s="37">
        <v>35</v>
      </c>
      <c r="R47" s="57">
        <f t="shared" si="13"/>
        <v>0</v>
      </c>
      <c r="S47" s="58">
        <f t="shared" si="13"/>
        <v>77974.683544372121</v>
      </c>
      <c r="T47" s="23" t="b">
        <f t="shared" si="14"/>
        <v>1</v>
      </c>
      <c r="U47" s="78">
        <f t="shared" si="15"/>
        <v>25.347727272727884</v>
      </c>
    </row>
    <row r="48" spans="3:21" x14ac:dyDescent="0.25">
      <c r="C48" s="6" t="s">
        <v>12</v>
      </c>
      <c r="D48" s="6">
        <v>1.5</v>
      </c>
      <c r="E48" s="3">
        <v>0.1</v>
      </c>
      <c r="F48" s="3">
        <v>0.1</v>
      </c>
      <c r="G48" s="3">
        <v>0.5</v>
      </c>
      <c r="H48" s="3"/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82">
        <f t="shared" si="12"/>
        <v>2011.8143459932039</v>
      </c>
      <c r="P48" s="36">
        <v>0</v>
      </c>
      <c r="Q48" s="37">
        <v>1</v>
      </c>
      <c r="R48" s="57">
        <f t="shared" si="13"/>
        <v>0</v>
      </c>
      <c r="S48" s="58">
        <f t="shared" si="13"/>
        <v>2227.8481012677748</v>
      </c>
      <c r="T48" s="23" t="b">
        <f t="shared" si="14"/>
        <v>1</v>
      </c>
      <c r="U48" s="78">
        <f t="shared" si="15"/>
        <v>0.90303030303024912</v>
      </c>
    </row>
    <row r="49" spans="3:21" x14ac:dyDescent="0.25">
      <c r="C49" s="6" t="s">
        <v>13</v>
      </c>
      <c r="D49" s="6">
        <v>0</v>
      </c>
      <c r="E49" s="3">
        <v>0</v>
      </c>
      <c r="F49" s="3">
        <v>0</v>
      </c>
      <c r="G49" s="3">
        <v>0</v>
      </c>
      <c r="H49" s="3"/>
      <c r="I49" s="3">
        <v>100</v>
      </c>
      <c r="J49" s="3">
        <v>100</v>
      </c>
      <c r="K49" s="3">
        <v>100</v>
      </c>
      <c r="L49" s="3">
        <v>100</v>
      </c>
      <c r="M49" s="3">
        <v>100</v>
      </c>
      <c r="N49" s="3">
        <v>100</v>
      </c>
      <c r="O49" s="82">
        <f t="shared" si="12"/>
        <v>11139.240506368695</v>
      </c>
      <c r="P49" s="36">
        <v>0</v>
      </c>
      <c r="Q49" s="37">
        <v>5</v>
      </c>
      <c r="R49" s="57">
        <f t="shared" si="13"/>
        <v>0</v>
      </c>
      <c r="S49" s="58">
        <f t="shared" si="13"/>
        <v>11139.240506338874</v>
      </c>
      <c r="T49" s="23" t="b">
        <f t="shared" si="14"/>
        <v>1</v>
      </c>
      <c r="U49" s="78">
        <f t="shared" si="15"/>
        <v>5.0000000000133857</v>
      </c>
    </row>
    <row r="50" spans="3:21" x14ac:dyDescent="0.25">
      <c r="C50" s="6" t="s">
        <v>14</v>
      </c>
      <c r="D50" s="6">
        <v>4</v>
      </c>
      <c r="E50" s="3">
        <v>80</v>
      </c>
      <c r="F50" s="3">
        <v>8</v>
      </c>
      <c r="G50" s="3">
        <v>70</v>
      </c>
      <c r="H50" s="25"/>
      <c r="I50" s="143">
        <v>250</v>
      </c>
      <c r="J50" s="143">
        <v>225</v>
      </c>
      <c r="K50" s="143">
        <v>205</v>
      </c>
      <c r="L50" s="143">
        <v>195</v>
      </c>
      <c r="M50" s="143">
        <v>185</v>
      </c>
      <c r="N50" s="143">
        <v>180</v>
      </c>
      <c r="O50" s="82">
        <f t="shared" si="12"/>
        <v>106936.70886088852</v>
      </c>
      <c r="P50" s="36">
        <v>20</v>
      </c>
      <c r="Q50" s="37">
        <v>48</v>
      </c>
      <c r="R50" s="57">
        <f t="shared" si="13"/>
        <v>44556.962025355497</v>
      </c>
      <c r="S50" s="58">
        <f t="shared" si="13"/>
        <v>106936.70886085319</v>
      </c>
      <c r="T50" s="23" t="b">
        <f t="shared" si="14"/>
        <v>1</v>
      </c>
      <c r="U50" s="78">
        <f t="shared" si="15"/>
        <v>48.000000000015859</v>
      </c>
    </row>
    <row r="51" spans="3:21" x14ac:dyDescent="0.25">
      <c r="C51" s="6" t="s">
        <v>15</v>
      </c>
      <c r="D51" s="6">
        <v>25</v>
      </c>
      <c r="E51" s="3">
        <v>95</v>
      </c>
      <c r="F51" s="3">
        <v>30</v>
      </c>
      <c r="G51" s="3">
        <v>90</v>
      </c>
      <c r="H51" s="25"/>
      <c r="I51" s="25">
        <v>110</v>
      </c>
      <c r="J51" s="25">
        <v>110</v>
      </c>
      <c r="K51" s="25">
        <v>110</v>
      </c>
      <c r="L51" s="25">
        <v>110</v>
      </c>
      <c r="M51" s="25">
        <v>110</v>
      </c>
      <c r="N51" s="25">
        <v>110</v>
      </c>
      <c r="O51" s="82">
        <f t="shared" si="12"/>
        <v>140751.05485244805</v>
      </c>
      <c r="P51" s="36">
        <v>46</v>
      </c>
      <c r="Q51" s="37">
        <v>71</v>
      </c>
      <c r="R51" s="57">
        <f t="shared" si="13"/>
        <v>102481.01265831765</v>
      </c>
      <c r="S51" s="58">
        <f t="shared" si="13"/>
        <v>158177.21519001201</v>
      </c>
      <c r="T51" s="23" t="b">
        <f t="shared" si="14"/>
        <v>1</v>
      </c>
      <c r="U51" s="78">
        <f t="shared" si="15"/>
        <v>63.178030303032124</v>
      </c>
    </row>
    <row r="52" spans="3:21" x14ac:dyDescent="0.25">
      <c r="C52" s="8" t="s">
        <v>16</v>
      </c>
      <c r="D52" s="8">
        <v>95</v>
      </c>
      <c r="E52" s="7">
        <v>99</v>
      </c>
      <c r="F52" s="7">
        <v>94</v>
      </c>
      <c r="G52" s="7">
        <v>100</v>
      </c>
      <c r="H52" s="7"/>
      <c r="I52" s="7">
        <v>100</v>
      </c>
      <c r="J52" s="7">
        <v>100</v>
      </c>
      <c r="K52" s="7">
        <v>100</v>
      </c>
      <c r="L52" s="7">
        <v>100</v>
      </c>
      <c r="M52" s="7">
        <v>100</v>
      </c>
      <c r="N52" s="7">
        <v>100</v>
      </c>
      <c r="O52" s="83">
        <f t="shared" si="12"/>
        <v>218016.87763732165</v>
      </c>
      <c r="P52" s="38">
        <v>75</v>
      </c>
      <c r="Q52" s="39">
        <v>100</v>
      </c>
      <c r="R52" s="59">
        <f t="shared" si="13"/>
        <v>167088.6075950831</v>
      </c>
      <c r="S52" s="60">
        <f t="shared" si="13"/>
        <v>222784.81012677748</v>
      </c>
      <c r="T52" s="24" t="b">
        <f t="shared" si="14"/>
        <v>1</v>
      </c>
      <c r="U52" s="79">
        <f t="shared" si="15"/>
        <v>97.859848484848399</v>
      </c>
    </row>
    <row r="53" spans="3:21" x14ac:dyDescent="0.25">
      <c r="H53" s="26"/>
      <c r="N53" s="26" t="s">
        <v>23</v>
      </c>
    </row>
  </sheetData>
  <mergeCells count="2">
    <mergeCell ref="B2:C3"/>
    <mergeCell ref="B4:B5"/>
  </mergeCells>
  <conditionalFormatting sqref="T31:T39">
    <cfRule type="cellIs" dxfId="33" priority="11" operator="equal">
      <formula>FALSE</formula>
    </cfRule>
  </conditionalFormatting>
  <conditionalFormatting sqref="R4:R5">
    <cfRule type="cellIs" dxfId="32" priority="10" operator="equal">
      <formula>FALSE</formula>
    </cfRule>
  </conditionalFormatting>
  <conditionalFormatting sqref="D21:H21">
    <cfRule type="cellIs" dxfId="31" priority="9" operator="equal">
      <formula>FALSE</formula>
    </cfRule>
  </conditionalFormatting>
  <conditionalFormatting sqref="I6:N7">
    <cfRule type="cellIs" dxfId="30" priority="7" operator="equal">
      <formula>0</formula>
    </cfRule>
  </conditionalFormatting>
  <conditionalFormatting sqref="I14:N15">
    <cfRule type="cellIs" dxfId="29" priority="6" operator="lessThan">
      <formula>0</formula>
    </cfRule>
  </conditionalFormatting>
  <conditionalFormatting sqref="I10:N11">
    <cfRule type="cellIs" dxfId="28" priority="5" operator="equal">
      <formula>0</formula>
    </cfRule>
  </conditionalFormatting>
  <conditionalFormatting sqref="I16:N16">
    <cfRule type="cellIs" dxfId="27" priority="4" operator="equal">
      <formula>FALSE</formula>
    </cfRule>
  </conditionalFormatting>
  <conditionalFormatting sqref="I17:N17">
    <cfRule type="cellIs" dxfId="26" priority="3" operator="equal">
      <formula>FALSE</formula>
    </cfRule>
  </conditionalFormatting>
  <conditionalFormatting sqref="T44:T52">
    <cfRule type="cellIs" dxfId="25" priority="2" operator="equal">
      <formula>FALSE</formula>
    </cfRule>
  </conditionalFormatting>
  <conditionalFormatting sqref="O6:O7">
    <cfRule type="cellIs" dxfId="24" priority="1" operator="equal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54"/>
  <sheetViews>
    <sheetView showGridLines="0" zoomScale="85" zoomScaleNormal="85" workbookViewId="0">
      <selection activeCell="O45" sqref="O45:O53"/>
    </sheetView>
  </sheetViews>
  <sheetFormatPr defaultRowHeight="15" x14ac:dyDescent="0.25"/>
  <cols>
    <col min="1" max="1" width="1.7109375" customWidth="1"/>
    <col min="2" max="2" width="3.7109375" bestFit="1" customWidth="1"/>
    <col min="3" max="3" width="23.42578125" bestFit="1" customWidth="1"/>
    <col min="4" max="8" width="12.7109375" customWidth="1"/>
    <col min="9" max="9" width="13.42578125" bestFit="1" customWidth="1"/>
    <col min="10" max="10" width="14.140625" bestFit="1" customWidth="1"/>
    <col min="11" max="13" width="12.42578125" bestFit="1" customWidth="1"/>
    <col min="14" max="14" width="13.5703125" bestFit="1" customWidth="1"/>
    <col min="15" max="15" width="10.140625" bestFit="1" customWidth="1"/>
    <col min="16" max="16" width="16.28515625" bestFit="1" customWidth="1"/>
    <col min="17" max="17" width="14.85546875" bestFit="1" customWidth="1"/>
    <col min="18" max="18" width="11.28515625" customWidth="1"/>
    <col min="19" max="19" width="9.28515625" customWidth="1"/>
    <col min="20" max="20" width="16.7109375" bestFit="1" customWidth="1"/>
    <col min="21" max="21" width="16.85546875" bestFit="1" customWidth="1"/>
  </cols>
  <sheetData>
    <row r="1" spans="2:28" ht="9" customHeight="1" x14ac:dyDescent="0.25"/>
    <row r="2" spans="2:28" x14ac:dyDescent="0.25">
      <c r="B2" s="214" t="s">
        <v>45</v>
      </c>
      <c r="C2" s="215"/>
      <c r="D2" s="15"/>
      <c r="E2" s="16"/>
      <c r="F2" s="17" t="s">
        <v>0</v>
      </c>
      <c r="G2" s="16"/>
      <c r="H2" s="18"/>
      <c r="I2" s="16"/>
      <c r="J2" s="16"/>
      <c r="K2" s="16"/>
      <c r="L2" s="16"/>
      <c r="M2" s="16"/>
      <c r="N2" s="18"/>
      <c r="P2" s="67" t="s">
        <v>48</v>
      </c>
      <c r="T2" s="13" t="s">
        <v>53</v>
      </c>
      <c r="X2" s="13" t="s">
        <v>30</v>
      </c>
    </row>
    <row r="3" spans="2:28" x14ac:dyDescent="0.25">
      <c r="B3" s="216"/>
      <c r="C3" s="217"/>
      <c r="D3" s="9" t="s">
        <v>2</v>
      </c>
      <c r="E3" s="10" t="s">
        <v>3</v>
      </c>
      <c r="F3" s="10" t="s">
        <v>4</v>
      </c>
      <c r="G3" s="10" t="s">
        <v>5</v>
      </c>
      <c r="H3" s="11" t="s">
        <v>6</v>
      </c>
      <c r="I3" s="10" t="str">
        <f t="shared" ref="I3:N3" si="0">"Ethanol "&amp;TEXT(I8,"#%")</f>
        <v>Ethanol 1%</v>
      </c>
      <c r="J3" s="10" t="str">
        <f t="shared" si="0"/>
        <v>Ethanol 2%</v>
      </c>
      <c r="K3" s="10" t="str">
        <f t="shared" si="0"/>
        <v>Ethanol 4%</v>
      </c>
      <c r="L3" s="10" t="str">
        <f t="shared" si="0"/>
        <v>Ethanol 6%</v>
      </c>
      <c r="M3" s="10" t="str">
        <f t="shared" si="0"/>
        <v>Ethanol 8%</v>
      </c>
      <c r="N3" s="11" t="str">
        <f t="shared" si="0"/>
        <v>Ethanol 10%</v>
      </c>
      <c r="P3" s="63" t="s">
        <v>41</v>
      </c>
      <c r="Q3" s="63" t="s">
        <v>42</v>
      </c>
      <c r="R3" s="63" t="s">
        <v>43</v>
      </c>
      <c r="T3" s="63" t="s">
        <v>51</v>
      </c>
      <c r="U3" s="63" t="s">
        <v>52</v>
      </c>
      <c r="X3" t="s">
        <v>71</v>
      </c>
      <c r="AA3" s="105">
        <v>9.9999999999999995E-7</v>
      </c>
      <c r="AB3" t="s">
        <v>72</v>
      </c>
    </row>
    <row r="4" spans="2:28" ht="18" customHeight="1" x14ac:dyDescent="0.25">
      <c r="B4" s="212" t="s">
        <v>44</v>
      </c>
      <c r="C4" s="65" t="s">
        <v>46</v>
      </c>
      <c r="D4" s="74">
        <v>1009.5735420014931</v>
      </c>
      <c r="E4" s="75">
        <v>0</v>
      </c>
      <c r="F4" s="75">
        <v>0</v>
      </c>
      <c r="G4" s="75">
        <v>807.65883360102646</v>
      </c>
      <c r="H4" s="140"/>
      <c r="I4" s="74">
        <v>20.191470840022003</v>
      </c>
      <c r="J4" s="75">
        <v>20.191470840164222</v>
      </c>
      <c r="K4" s="75">
        <v>40.382941680248301</v>
      </c>
      <c r="L4" s="75">
        <v>40.3829416801888</v>
      </c>
      <c r="M4" s="75">
        <v>40.382941680063659</v>
      </c>
      <c r="N4" s="75">
        <v>40.382941680180522</v>
      </c>
      <c r="P4" s="69">
        <f>SUM(D4:N4)</f>
        <v>2019.1470840033869</v>
      </c>
      <c r="Q4" s="51">
        <v>2500</v>
      </c>
      <c r="R4" s="22" t="b">
        <f t="shared" ref="R4:R5" si="1">P4&lt;=Q4*(1+$AA$3)</f>
        <v>1</v>
      </c>
      <c r="T4" s="51">
        <v>425</v>
      </c>
      <c r="U4" s="69">
        <f>T4*P4</f>
        <v>858137.51070143946</v>
      </c>
    </row>
    <row r="5" spans="2:28" ht="18" customHeight="1" x14ac:dyDescent="0.25">
      <c r="B5" s="213"/>
      <c r="C5" s="66" t="s">
        <v>47</v>
      </c>
      <c r="D5" s="74">
        <v>990.42645799850743</v>
      </c>
      <c r="E5" s="75">
        <v>0</v>
      </c>
      <c r="F5" s="75">
        <v>0</v>
      </c>
      <c r="G5" s="75">
        <v>1192.3411663989505</v>
      </c>
      <c r="H5" s="140"/>
      <c r="I5" s="74">
        <v>22.976501310140591</v>
      </c>
      <c r="J5" s="75">
        <v>22.976501403820599</v>
      </c>
      <c r="K5" s="75">
        <v>45.953002618462541</v>
      </c>
      <c r="L5" s="75">
        <v>22.976501209641857</v>
      </c>
      <c r="M5" s="75">
        <v>1.8901147313954425E-10</v>
      </c>
      <c r="N5" s="75">
        <v>0</v>
      </c>
      <c r="P5" s="69">
        <f>SUM(D5:N5)</f>
        <v>2297.6501309397127</v>
      </c>
      <c r="Q5" s="51">
        <v>4000</v>
      </c>
      <c r="R5" s="28" t="b">
        <f t="shared" si="1"/>
        <v>1</v>
      </c>
      <c r="T5" s="51">
        <v>429</v>
      </c>
      <c r="U5" s="69">
        <f>T5*P5</f>
        <v>985691.90617313678</v>
      </c>
    </row>
    <row r="6" spans="2:28" x14ac:dyDescent="0.25">
      <c r="G6" s="26"/>
      <c r="H6" s="26" t="s">
        <v>113</v>
      </c>
      <c r="I6" s="75">
        <v>1</v>
      </c>
      <c r="J6" s="75">
        <v>1</v>
      </c>
      <c r="K6" s="75">
        <v>1</v>
      </c>
      <c r="L6" s="75">
        <v>1</v>
      </c>
      <c r="M6" s="75">
        <v>1</v>
      </c>
      <c r="N6" s="75">
        <v>1</v>
      </c>
    </row>
    <row r="7" spans="2:28" x14ac:dyDescent="0.25">
      <c r="G7" s="26"/>
      <c r="H7" s="26" t="s">
        <v>114</v>
      </c>
      <c r="I7" s="75">
        <v>1</v>
      </c>
      <c r="J7" s="75">
        <v>1</v>
      </c>
      <c r="K7" s="75">
        <v>1</v>
      </c>
      <c r="L7" s="75">
        <v>1</v>
      </c>
      <c r="M7" s="75">
        <v>0</v>
      </c>
      <c r="N7" s="75">
        <v>0</v>
      </c>
    </row>
    <row r="8" spans="2:28" x14ac:dyDescent="0.25">
      <c r="H8" s="26" t="s">
        <v>116</v>
      </c>
      <c r="I8" s="141">
        <v>0.01</v>
      </c>
      <c r="J8" s="141">
        <v>0.02</v>
      </c>
      <c r="K8" s="141">
        <v>0.04</v>
      </c>
      <c r="L8" s="141">
        <v>0.06</v>
      </c>
      <c r="M8" s="141">
        <v>0.08</v>
      </c>
      <c r="N8" s="141">
        <v>0.1</v>
      </c>
    </row>
    <row r="9" spans="2:28" x14ac:dyDescent="0.25">
      <c r="F9" s="26" t="s">
        <v>117</v>
      </c>
      <c r="G9" s="51">
        <f>SUM(Q4:Q5)</f>
        <v>6500</v>
      </c>
      <c r="H9" s="142" t="s">
        <v>118</v>
      </c>
      <c r="I9" s="69">
        <f t="shared" ref="I9:N10" si="2">$G$9*I6</f>
        <v>6500</v>
      </c>
      <c r="J9" s="69">
        <f t="shared" si="2"/>
        <v>6500</v>
      </c>
      <c r="K9" s="69">
        <f t="shared" si="2"/>
        <v>6500</v>
      </c>
      <c r="L9" s="69">
        <f t="shared" si="2"/>
        <v>6500</v>
      </c>
      <c r="M9" s="69">
        <f t="shared" si="2"/>
        <v>6500</v>
      </c>
      <c r="N9" s="69">
        <f t="shared" si="2"/>
        <v>6500</v>
      </c>
    </row>
    <row r="10" spans="2:28" x14ac:dyDescent="0.25">
      <c r="H10" s="142" t="s">
        <v>119</v>
      </c>
      <c r="I10" s="69">
        <f t="shared" si="2"/>
        <v>6500</v>
      </c>
      <c r="J10" s="69">
        <f t="shared" si="2"/>
        <v>6500</v>
      </c>
      <c r="K10" s="69">
        <f t="shared" si="2"/>
        <v>6500</v>
      </c>
      <c r="L10" s="69">
        <f t="shared" si="2"/>
        <v>6500</v>
      </c>
      <c r="M10" s="69">
        <f t="shared" si="2"/>
        <v>0</v>
      </c>
      <c r="N10" s="69">
        <f t="shared" si="2"/>
        <v>0</v>
      </c>
    </row>
    <row r="11" spans="2:28" x14ac:dyDescent="0.25">
      <c r="H11" s="142" t="s">
        <v>126</v>
      </c>
      <c r="I11" s="69">
        <f>I$8*$P4</f>
        <v>20.191470840033869</v>
      </c>
      <c r="J11" s="69">
        <f t="shared" ref="J11:N12" si="3">(J$8-I$8)*$P4</f>
        <v>20.191470840033869</v>
      </c>
      <c r="K11" s="69">
        <f t="shared" si="3"/>
        <v>40.382941680067738</v>
      </c>
      <c r="L11" s="69">
        <f t="shared" si="3"/>
        <v>40.382941680067731</v>
      </c>
      <c r="M11" s="69">
        <f t="shared" si="3"/>
        <v>40.382941680067745</v>
      </c>
      <c r="N11" s="69">
        <f t="shared" si="3"/>
        <v>40.382941680067745</v>
      </c>
    </row>
    <row r="12" spans="2:28" x14ac:dyDescent="0.25">
      <c r="H12" s="142" t="s">
        <v>127</v>
      </c>
      <c r="I12" s="69">
        <f>I$8*$P5</f>
        <v>22.976501309397126</v>
      </c>
      <c r="J12" s="69">
        <f t="shared" si="3"/>
        <v>22.976501309397126</v>
      </c>
      <c r="K12" s="69">
        <f t="shared" si="3"/>
        <v>45.953002618794251</v>
      </c>
      <c r="L12" s="69">
        <f t="shared" si="3"/>
        <v>45.953002618794244</v>
      </c>
      <c r="M12" s="69">
        <f t="shared" si="3"/>
        <v>45.953002618794265</v>
      </c>
      <c r="N12" s="69">
        <f t="shared" si="3"/>
        <v>45.953002618794265</v>
      </c>
    </row>
    <row r="13" spans="2:28" x14ac:dyDescent="0.25">
      <c r="H13" s="142" t="s">
        <v>128</v>
      </c>
      <c r="I13" s="69">
        <f t="shared" ref="I13:N14" si="4">I11-I4</f>
        <v>1.1866063687193673E-11</v>
      </c>
      <c r="J13" s="69">
        <f t="shared" si="4"/>
        <v>-1.3035261758886918E-10</v>
      </c>
      <c r="K13" s="69">
        <f t="shared" si="4"/>
        <v>-1.8056312001135666E-10</v>
      </c>
      <c r="L13" s="69">
        <f t="shared" si="4"/>
        <v>-1.2106937674616347E-10</v>
      </c>
      <c r="M13" s="69">
        <f t="shared" si="4"/>
        <v>4.0856207306205761E-12</v>
      </c>
      <c r="N13" s="69">
        <f t="shared" si="4"/>
        <v>-1.127773430198431E-10</v>
      </c>
    </row>
    <row r="14" spans="2:28" x14ac:dyDescent="0.25">
      <c r="H14" s="142" t="s">
        <v>129</v>
      </c>
      <c r="I14" s="69">
        <f t="shared" si="4"/>
        <v>-7.4346573342154443E-10</v>
      </c>
      <c r="J14" s="69">
        <f t="shared" si="4"/>
        <v>-9.44234734845395E-8</v>
      </c>
      <c r="K14" s="69">
        <f t="shared" si="4"/>
        <v>3.3170977076224517E-10</v>
      </c>
      <c r="L14" s="69">
        <f t="shared" si="4"/>
        <v>22.976501409152387</v>
      </c>
      <c r="M14" s="69">
        <f t="shared" si="4"/>
        <v>45.953002618605254</v>
      </c>
      <c r="N14" s="69">
        <f t="shared" si="4"/>
        <v>45.953002618794265</v>
      </c>
    </row>
    <row r="15" spans="2:28" x14ac:dyDescent="0.25">
      <c r="H15" s="142" t="s">
        <v>130</v>
      </c>
      <c r="I15" s="144">
        <f>$G$9</f>
        <v>6500</v>
      </c>
      <c r="J15" s="69">
        <f t="shared" ref="J15:N16" si="5">$G$9*(1-J6)</f>
        <v>0</v>
      </c>
      <c r="K15" s="69">
        <f t="shared" si="5"/>
        <v>0</v>
      </c>
      <c r="L15" s="69">
        <f t="shared" si="5"/>
        <v>0</v>
      </c>
      <c r="M15" s="69">
        <f t="shared" si="5"/>
        <v>0</v>
      </c>
      <c r="N15" s="69">
        <f t="shared" si="5"/>
        <v>0</v>
      </c>
    </row>
    <row r="16" spans="2:28" x14ac:dyDescent="0.25">
      <c r="H16" s="142" t="s">
        <v>131</v>
      </c>
      <c r="I16" s="144">
        <f>$G$9</f>
        <v>6500</v>
      </c>
      <c r="J16" s="69">
        <f t="shared" si="5"/>
        <v>0</v>
      </c>
      <c r="K16" s="69">
        <f t="shared" si="5"/>
        <v>0</v>
      </c>
      <c r="L16" s="69">
        <f t="shared" si="5"/>
        <v>0</v>
      </c>
      <c r="M16" s="69">
        <f t="shared" si="5"/>
        <v>6500</v>
      </c>
      <c r="N16" s="69">
        <f t="shared" si="5"/>
        <v>6500</v>
      </c>
    </row>
    <row r="17" spans="3:21" x14ac:dyDescent="0.25">
      <c r="H17" s="142" t="s">
        <v>124</v>
      </c>
      <c r="I17" s="28" t="b">
        <f t="shared" ref="I17:N18" si="6">AND(I4&lt;=I9*(1+$AA$3)+$AA$3,I4&lt;=I11*(1+$AA$3))</f>
        <v>1</v>
      </c>
      <c r="J17" s="28" t="b">
        <f t="shared" si="6"/>
        <v>1</v>
      </c>
      <c r="K17" s="28" t="b">
        <f t="shared" si="6"/>
        <v>1</v>
      </c>
      <c r="L17" s="28" t="b">
        <f t="shared" si="6"/>
        <v>1</v>
      </c>
      <c r="M17" s="28" t="b">
        <f t="shared" si="6"/>
        <v>1</v>
      </c>
      <c r="N17" s="28" t="b">
        <f t="shared" si="6"/>
        <v>1</v>
      </c>
    </row>
    <row r="18" spans="3:21" x14ac:dyDescent="0.25">
      <c r="H18" s="142" t="s">
        <v>125</v>
      </c>
      <c r="I18" s="28" t="b">
        <f t="shared" si="6"/>
        <v>1</v>
      </c>
      <c r="J18" s="28" t="b">
        <f t="shared" si="6"/>
        <v>1</v>
      </c>
      <c r="K18" s="28" t="b">
        <f t="shared" si="6"/>
        <v>1</v>
      </c>
      <c r="L18" s="28" t="b">
        <f t="shared" si="6"/>
        <v>1</v>
      </c>
      <c r="M18" s="28" t="b">
        <f t="shared" si="6"/>
        <v>1</v>
      </c>
      <c r="N18" s="28" t="b">
        <f t="shared" si="6"/>
        <v>1</v>
      </c>
    </row>
    <row r="19" spans="3:21" x14ac:dyDescent="0.25">
      <c r="C19" s="67" t="s">
        <v>49</v>
      </c>
    </row>
    <row r="20" spans="3:21" ht="15" customHeight="1" x14ac:dyDescent="0.25">
      <c r="C20" s="61" t="s">
        <v>40</v>
      </c>
      <c r="D20" s="69">
        <f>SUM(D4:D5)</f>
        <v>2000.0000000000005</v>
      </c>
      <c r="E20" s="69">
        <f>SUM(E4:E5)</f>
        <v>0</v>
      </c>
      <c r="F20" s="69">
        <f>SUM(F4:F5)</f>
        <v>0</v>
      </c>
      <c r="G20" s="69">
        <f>SUM(G4:G5)</f>
        <v>1999.9999999999768</v>
      </c>
      <c r="H20" s="69">
        <f>SUM(I4:N5)</f>
        <v>316.79721494312207</v>
      </c>
    </row>
    <row r="21" spans="3:21" ht="15" customHeight="1" x14ac:dyDescent="0.25">
      <c r="C21" s="61" t="s">
        <v>50</v>
      </c>
      <c r="D21" s="51">
        <v>2000</v>
      </c>
      <c r="E21" s="51">
        <v>1000</v>
      </c>
      <c r="F21" s="51">
        <v>2000</v>
      </c>
      <c r="G21" s="51">
        <v>2000</v>
      </c>
      <c r="H21" s="51">
        <v>1000</v>
      </c>
    </row>
    <row r="22" spans="3:21" ht="15" customHeight="1" x14ac:dyDescent="0.25">
      <c r="C22" s="61" t="s">
        <v>43</v>
      </c>
      <c r="D22" s="28" t="b">
        <f t="shared" ref="D22:H22" si="7">D20&lt;=D21*(1+$AA$3)</f>
        <v>1</v>
      </c>
      <c r="E22" s="28" t="b">
        <f t="shared" si="7"/>
        <v>1</v>
      </c>
      <c r="F22" s="28" t="b">
        <f t="shared" si="7"/>
        <v>1</v>
      </c>
      <c r="G22" s="28" t="b">
        <f t="shared" si="7"/>
        <v>1</v>
      </c>
      <c r="H22" s="28" t="b">
        <f t="shared" si="7"/>
        <v>1</v>
      </c>
    </row>
    <row r="23" spans="3:21" ht="15" customHeight="1" x14ac:dyDescent="0.25"/>
    <row r="24" spans="3:21" ht="15" customHeight="1" x14ac:dyDescent="0.25">
      <c r="C24" s="13" t="s">
        <v>54</v>
      </c>
    </row>
    <row r="25" spans="3:21" ht="15" customHeight="1" x14ac:dyDescent="0.25">
      <c r="C25" s="14" t="s">
        <v>86</v>
      </c>
      <c r="D25" s="51">
        <v>420</v>
      </c>
      <c r="E25" s="51">
        <v>435</v>
      </c>
      <c r="F25" s="51">
        <v>440</v>
      </c>
      <c r="G25" s="51">
        <v>423</v>
      </c>
      <c r="H25" s="51">
        <v>350</v>
      </c>
      <c r="P25" s="27"/>
      <c r="R25" s="27"/>
      <c r="T25" s="13" t="s">
        <v>55</v>
      </c>
    </row>
    <row r="26" spans="3:21" x14ac:dyDescent="0.25">
      <c r="C26" s="14" t="s">
        <v>58</v>
      </c>
      <c r="D26" s="69">
        <f t="shared" ref="D26:G26" si="8">D25*D20</f>
        <v>840000.00000000023</v>
      </c>
      <c r="E26" s="69">
        <f t="shared" si="8"/>
        <v>0</v>
      </c>
      <c r="F26" s="69">
        <f t="shared" si="8"/>
        <v>0</v>
      </c>
      <c r="G26" s="69">
        <f t="shared" si="8"/>
        <v>845999.99999999022</v>
      </c>
      <c r="H26" s="69">
        <f>H25*H20</f>
        <v>110879.02523009272</v>
      </c>
      <c r="P26" s="27"/>
      <c r="R26" s="27"/>
      <c r="T26" s="62" t="s">
        <v>56</v>
      </c>
      <c r="U26" s="50">
        <f>SUM(U4:U5)-SUM(D26:N26)</f>
        <v>46950.391644493211</v>
      </c>
    </row>
    <row r="30" spans="3:21" x14ac:dyDescent="0.25">
      <c r="C30" s="13" t="s">
        <v>59</v>
      </c>
      <c r="H30" s="145" t="s">
        <v>132</v>
      </c>
      <c r="O30" s="76" t="s">
        <v>62</v>
      </c>
      <c r="P30" s="31" t="s">
        <v>19</v>
      </c>
      <c r="Q30" s="16"/>
      <c r="R30" s="31" t="s">
        <v>38</v>
      </c>
      <c r="S30" s="16"/>
      <c r="T30" s="68" t="s">
        <v>21</v>
      </c>
      <c r="U30" s="76" t="s">
        <v>61</v>
      </c>
    </row>
    <row r="31" spans="3:21" x14ac:dyDescent="0.25">
      <c r="H31" s="146" t="s">
        <v>6</v>
      </c>
      <c r="O31" s="80" t="s">
        <v>63</v>
      </c>
      <c r="P31" s="19" t="s">
        <v>7</v>
      </c>
      <c r="Q31" s="40" t="s">
        <v>8</v>
      </c>
      <c r="R31" s="19" t="s">
        <v>7</v>
      </c>
      <c r="S31" s="40" t="s">
        <v>8</v>
      </c>
      <c r="T31" s="64"/>
      <c r="U31" s="64"/>
    </row>
    <row r="32" spans="3:21" x14ac:dyDescent="0.25">
      <c r="C32" s="21" t="s">
        <v>9</v>
      </c>
      <c r="D32" s="1">
        <v>0.79</v>
      </c>
      <c r="E32" s="2">
        <v>0.68</v>
      </c>
      <c r="F32" s="2">
        <v>0.7</v>
      </c>
      <c r="G32" s="2">
        <v>0.68</v>
      </c>
      <c r="H32" s="147">
        <f t="shared" ref="H32:H37" si="9">SUMPRODUCT(I32:N32,I$4:N$4)/SUM(I$4:N$4)</f>
        <v>0.79400000000000004</v>
      </c>
      <c r="I32" s="2">
        <v>0.79400000000000004</v>
      </c>
      <c r="J32" s="2">
        <v>0.79400000000000004</v>
      </c>
      <c r="K32" s="2">
        <v>0.79400000000000004</v>
      </c>
      <c r="L32" s="2">
        <v>0.79400000000000004</v>
      </c>
      <c r="M32" s="2">
        <v>0.79400000000000004</v>
      </c>
      <c r="N32" s="2">
        <v>0.79400000000000004</v>
      </c>
      <c r="O32" s="81">
        <f t="shared" ref="O32:O40" si="10">SUMPRODUCT($D$4:$G$4,D32:G32)+SUMPRODUCT(I$4:N$4,I32:N32)</f>
        <v>1507.0913835001663</v>
      </c>
      <c r="P32" s="32">
        <v>0.72</v>
      </c>
      <c r="Q32" s="33">
        <v>0.77500000000000002</v>
      </c>
      <c r="R32" s="55">
        <f t="shared" ref="R32:S40" si="11">P32*$P$4</f>
        <v>1453.7859004824386</v>
      </c>
      <c r="S32" s="56">
        <f t="shared" si="11"/>
        <v>1564.8389901026248</v>
      </c>
      <c r="T32" s="22" t="b">
        <f t="shared" ref="T32:T40" si="12">AND(O32&gt;=R32*(1-$AA$3),O32&lt;=S32*(1+$AA$3))</f>
        <v>1</v>
      </c>
      <c r="U32" s="77">
        <f t="shared" ref="U32:U40" si="13">O32/$P$4</f>
        <v>0.74640000000001894</v>
      </c>
    </row>
    <row r="33" spans="3:21" x14ac:dyDescent="0.25">
      <c r="C33" s="6" t="s">
        <v>73</v>
      </c>
      <c r="D33" s="4">
        <v>96</v>
      </c>
      <c r="E33" s="5">
        <v>88</v>
      </c>
      <c r="F33" s="5">
        <v>101</v>
      </c>
      <c r="G33" s="5">
        <v>93</v>
      </c>
      <c r="H33" s="148">
        <f t="shared" si="9"/>
        <v>112.00000000000001</v>
      </c>
      <c r="I33" s="5">
        <v>112</v>
      </c>
      <c r="J33" s="5">
        <v>112</v>
      </c>
      <c r="K33" s="5">
        <v>112</v>
      </c>
      <c r="L33" s="5">
        <v>112</v>
      </c>
      <c r="M33" s="5">
        <v>112</v>
      </c>
      <c r="N33" s="5">
        <v>112</v>
      </c>
      <c r="O33" s="82">
        <f t="shared" si="10"/>
        <v>194645.77889793599</v>
      </c>
      <c r="P33" s="34">
        <v>95</v>
      </c>
      <c r="Q33" s="35">
        <v>999</v>
      </c>
      <c r="R33" s="57">
        <f t="shared" si="11"/>
        <v>191818.97298032176</v>
      </c>
      <c r="S33" s="58">
        <f t="shared" si="11"/>
        <v>2017127.9369193835</v>
      </c>
      <c r="T33" s="23" t="b">
        <f t="shared" si="12"/>
        <v>1</v>
      </c>
      <c r="U33" s="78">
        <f t="shared" si="13"/>
        <v>96.400000000004695</v>
      </c>
    </row>
    <row r="34" spans="3:21" x14ac:dyDescent="0.25">
      <c r="C34" s="6" t="s">
        <v>10</v>
      </c>
      <c r="D34" s="6">
        <v>30</v>
      </c>
      <c r="E34" s="3">
        <v>70</v>
      </c>
      <c r="F34" s="3">
        <v>40</v>
      </c>
      <c r="G34" s="3">
        <v>70</v>
      </c>
      <c r="H34" s="149">
        <f t="shared" si="9"/>
        <v>150.00000000000003</v>
      </c>
      <c r="I34" s="25">
        <v>150</v>
      </c>
      <c r="J34" s="25">
        <v>150</v>
      </c>
      <c r="K34" s="25">
        <v>150</v>
      </c>
      <c r="L34" s="25">
        <v>150</v>
      </c>
      <c r="M34" s="25">
        <v>150</v>
      </c>
      <c r="N34" s="25">
        <v>150</v>
      </c>
      <c r="O34" s="82">
        <f t="shared" si="10"/>
        <v>117110.53087224677</v>
      </c>
      <c r="P34" s="36">
        <v>45</v>
      </c>
      <c r="Q34" s="37">
        <v>60</v>
      </c>
      <c r="R34" s="57">
        <f t="shared" si="11"/>
        <v>90861.618780152407</v>
      </c>
      <c r="S34" s="58">
        <f t="shared" si="11"/>
        <v>121148.82504020321</v>
      </c>
      <c r="T34" s="23" t="b">
        <f t="shared" si="12"/>
        <v>1</v>
      </c>
      <c r="U34" s="78">
        <f t="shared" si="13"/>
        <v>58.000000000024926</v>
      </c>
    </row>
    <row r="35" spans="3:21" x14ac:dyDescent="0.25">
      <c r="C35" s="6" t="s">
        <v>11</v>
      </c>
      <c r="D35" s="6">
        <v>58</v>
      </c>
      <c r="E35" s="3">
        <v>1.5</v>
      </c>
      <c r="F35" s="3">
        <v>0.1</v>
      </c>
      <c r="G35" s="3">
        <v>1</v>
      </c>
      <c r="H35" s="150">
        <f t="shared" si="9"/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82">
        <f t="shared" si="10"/>
        <v>59362.924269687624</v>
      </c>
      <c r="P35" s="36">
        <v>0</v>
      </c>
      <c r="Q35" s="37">
        <v>35</v>
      </c>
      <c r="R35" s="57">
        <f t="shared" si="11"/>
        <v>0</v>
      </c>
      <c r="S35" s="58">
        <f t="shared" si="11"/>
        <v>70670.147940118535</v>
      </c>
      <c r="T35" s="23" t="b">
        <f t="shared" si="12"/>
        <v>1</v>
      </c>
      <c r="U35" s="78">
        <f t="shared" si="13"/>
        <v>29.39999999999408</v>
      </c>
    </row>
    <row r="36" spans="3:21" x14ac:dyDescent="0.25">
      <c r="C36" s="6" t="s">
        <v>12</v>
      </c>
      <c r="D36" s="6">
        <v>1.5</v>
      </c>
      <c r="E36" s="3">
        <v>0.1</v>
      </c>
      <c r="F36" s="3">
        <v>0.1</v>
      </c>
      <c r="G36" s="3">
        <v>0.5</v>
      </c>
      <c r="H36" s="150">
        <f t="shared" si="9"/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82">
        <f t="shared" si="10"/>
        <v>1918.1897298027529</v>
      </c>
      <c r="P36" s="36">
        <v>0</v>
      </c>
      <c r="Q36" s="37">
        <v>1</v>
      </c>
      <c r="R36" s="57">
        <f t="shared" si="11"/>
        <v>0</v>
      </c>
      <c r="S36" s="58">
        <f t="shared" si="11"/>
        <v>2019.1470840033869</v>
      </c>
      <c r="T36" s="23" t="b">
        <f t="shared" si="12"/>
        <v>1</v>
      </c>
      <c r="U36" s="78">
        <f t="shared" si="13"/>
        <v>0.94999999999976992</v>
      </c>
    </row>
    <row r="37" spans="3:21" x14ac:dyDescent="0.25">
      <c r="C37" s="6" t="s">
        <v>13</v>
      </c>
      <c r="D37" s="6">
        <v>0</v>
      </c>
      <c r="E37" s="3">
        <v>0</v>
      </c>
      <c r="F37" s="3">
        <v>0</v>
      </c>
      <c r="G37" s="3">
        <v>0</v>
      </c>
      <c r="H37" s="150">
        <f t="shared" si="9"/>
        <v>100</v>
      </c>
      <c r="I37" s="3">
        <v>100</v>
      </c>
      <c r="J37" s="3">
        <v>100</v>
      </c>
      <c r="K37" s="3">
        <v>100</v>
      </c>
      <c r="L37" s="3">
        <v>100</v>
      </c>
      <c r="M37" s="3">
        <v>100</v>
      </c>
      <c r="N37" s="3">
        <v>100</v>
      </c>
      <c r="O37" s="82">
        <f t="shared" si="10"/>
        <v>20191.470840086749</v>
      </c>
      <c r="P37" s="36">
        <v>0</v>
      </c>
      <c r="Q37" s="37">
        <v>10</v>
      </c>
      <c r="R37" s="57">
        <f t="shared" si="11"/>
        <v>0</v>
      </c>
      <c r="S37" s="58">
        <f t="shared" si="11"/>
        <v>20191.470840033868</v>
      </c>
      <c r="T37" s="23" t="b">
        <f t="shared" si="12"/>
        <v>1</v>
      </c>
      <c r="U37" s="78">
        <f t="shared" si="13"/>
        <v>10.000000000026189</v>
      </c>
    </row>
    <row r="38" spans="3:21" x14ac:dyDescent="0.25">
      <c r="C38" s="6" t="s">
        <v>14</v>
      </c>
      <c r="D38" s="6">
        <v>4</v>
      </c>
      <c r="E38" s="3">
        <v>80</v>
      </c>
      <c r="F38" s="3">
        <v>8</v>
      </c>
      <c r="G38" s="3">
        <v>70</v>
      </c>
      <c r="H38" s="152">
        <f>SUMPRODUCT(I38:N38,I$4:N$4)/SUM(I$4:N$4)</f>
        <v>179.99999999999963</v>
      </c>
      <c r="I38" s="143">
        <v>250</v>
      </c>
      <c r="J38" s="143">
        <v>200</v>
      </c>
      <c r="K38" s="143">
        <v>185</v>
      </c>
      <c r="L38" s="143">
        <v>175</v>
      </c>
      <c r="M38" s="143">
        <v>155</v>
      </c>
      <c r="N38" s="143">
        <v>160</v>
      </c>
      <c r="O38" s="82">
        <f t="shared" si="10"/>
        <v>96919.060032233901</v>
      </c>
      <c r="P38" s="36">
        <v>20</v>
      </c>
      <c r="Q38" s="37">
        <v>48</v>
      </c>
      <c r="R38" s="57">
        <f t="shared" si="11"/>
        <v>40382.941680067735</v>
      </c>
      <c r="S38" s="58">
        <f t="shared" si="11"/>
        <v>96919.060032162568</v>
      </c>
      <c r="T38" s="23" t="b">
        <f t="shared" si="12"/>
        <v>1</v>
      </c>
      <c r="U38" s="78">
        <f t="shared" si="13"/>
        <v>48.000000000035328</v>
      </c>
    </row>
    <row r="39" spans="3:21" x14ac:dyDescent="0.25">
      <c r="C39" s="6" t="s">
        <v>15</v>
      </c>
      <c r="D39" s="6">
        <v>25</v>
      </c>
      <c r="E39" s="3">
        <v>95</v>
      </c>
      <c r="F39" s="3">
        <v>30</v>
      </c>
      <c r="G39" s="3">
        <v>90</v>
      </c>
      <c r="H39" s="149">
        <f t="shared" ref="H39:H40" si="14">SUMPRODUCT(I39:N39,I$4:N$4)/SUM(I$4:N$4)</f>
        <v>110.00000000000003</v>
      </c>
      <c r="I39" s="25">
        <v>110</v>
      </c>
      <c r="J39" s="25">
        <v>110</v>
      </c>
      <c r="K39" s="25">
        <v>110</v>
      </c>
      <c r="L39" s="25">
        <v>110</v>
      </c>
      <c r="M39" s="25">
        <v>110</v>
      </c>
      <c r="N39" s="25">
        <v>110</v>
      </c>
      <c r="O39" s="82">
        <f t="shared" si="10"/>
        <v>120139.25149822515</v>
      </c>
      <c r="P39" s="36">
        <v>46</v>
      </c>
      <c r="Q39" s="37">
        <v>71</v>
      </c>
      <c r="R39" s="57">
        <f t="shared" si="11"/>
        <v>92880.765864155794</v>
      </c>
      <c r="S39" s="58">
        <f t="shared" si="11"/>
        <v>143359.44296424047</v>
      </c>
      <c r="T39" s="23" t="b">
        <f t="shared" si="12"/>
        <v>1</v>
      </c>
      <c r="U39" s="78">
        <f t="shared" si="13"/>
        <v>59.500000000011703</v>
      </c>
    </row>
    <row r="40" spans="3:21" x14ac:dyDescent="0.25">
      <c r="C40" s="8" t="s">
        <v>16</v>
      </c>
      <c r="D40" s="8">
        <v>95</v>
      </c>
      <c r="E40" s="7">
        <v>99</v>
      </c>
      <c r="F40" s="7">
        <v>94</v>
      </c>
      <c r="G40" s="7">
        <v>100</v>
      </c>
      <c r="H40" s="151">
        <f t="shared" si="14"/>
        <v>100</v>
      </c>
      <c r="I40" s="7">
        <v>100</v>
      </c>
      <c r="J40" s="7">
        <v>100</v>
      </c>
      <c r="K40" s="7">
        <v>100</v>
      </c>
      <c r="L40" s="7">
        <v>100</v>
      </c>
      <c r="M40" s="7">
        <v>100</v>
      </c>
      <c r="N40" s="7">
        <v>100</v>
      </c>
      <c r="O40" s="83">
        <f t="shared" si="10"/>
        <v>196866.84069033124</v>
      </c>
      <c r="P40" s="38">
        <v>75</v>
      </c>
      <c r="Q40" s="39">
        <v>100</v>
      </c>
      <c r="R40" s="59">
        <f t="shared" si="11"/>
        <v>151436.03130025402</v>
      </c>
      <c r="S40" s="60">
        <f t="shared" si="11"/>
        <v>201914.70840033868</v>
      </c>
      <c r="T40" s="24" t="b">
        <f t="shared" si="12"/>
        <v>1</v>
      </c>
      <c r="U40" s="79">
        <f t="shared" si="13"/>
        <v>97.500000000000512</v>
      </c>
    </row>
    <row r="41" spans="3:21" x14ac:dyDescent="0.25">
      <c r="H41" s="26"/>
      <c r="I41" s="26"/>
      <c r="J41" s="26"/>
      <c r="K41" s="26"/>
      <c r="L41" s="26"/>
      <c r="M41" s="26"/>
      <c r="N41" s="26" t="s">
        <v>23</v>
      </c>
    </row>
    <row r="43" spans="3:21" x14ac:dyDescent="0.25">
      <c r="C43" s="13" t="s">
        <v>60</v>
      </c>
      <c r="H43" s="145" t="s">
        <v>132</v>
      </c>
      <c r="O43" s="76" t="s">
        <v>62</v>
      </c>
      <c r="P43" s="31" t="s">
        <v>19</v>
      </c>
      <c r="Q43" s="16"/>
      <c r="R43" s="31" t="s">
        <v>38</v>
      </c>
      <c r="S43" s="16"/>
      <c r="T43" s="68" t="s">
        <v>21</v>
      </c>
      <c r="U43" s="76" t="s">
        <v>61</v>
      </c>
    </row>
    <row r="44" spans="3:21" x14ac:dyDescent="0.25">
      <c r="H44" s="146" t="s">
        <v>6</v>
      </c>
      <c r="O44" s="80" t="s">
        <v>63</v>
      </c>
      <c r="P44" s="19" t="s">
        <v>7</v>
      </c>
      <c r="Q44" s="40" t="s">
        <v>8</v>
      </c>
      <c r="R44" s="19" t="s">
        <v>7</v>
      </c>
      <c r="S44" s="40" t="s">
        <v>8</v>
      </c>
      <c r="T44" s="64"/>
      <c r="U44" s="64"/>
    </row>
    <row r="45" spans="3:21" x14ac:dyDescent="0.25">
      <c r="C45" s="21" t="s">
        <v>9</v>
      </c>
      <c r="D45" s="1">
        <v>0.79</v>
      </c>
      <c r="E45" s="2">
        <v>0.68</v>
      </c>
      <c r="F45" s="2">
        <v>0.7</v>
      </c>
      <c r="G45" s="2">
        <v>0.68</v>
      </c>
      <c r="H45" s="147">
        <f t="shared" ref="H45:H50" si="15">SUMPRODUCT(I45:N45,I$5:N$5)/SUM(I$5:N$5)</f>
        <v>0.79400000000000015</v>
      </c>
      <c r="I45" s="2">
        <v>0.79400000000000004</v>
      </c>
      <c r="J45" s="2">
        <v>0.79400000000000004</v>
      </c>
      <c r="K45" s="2">
        <v>0.79400000000000004</v>
      </c>
      <c r="L45" s="2">
        <v>0.79400000000000004</v>
      </c>
      <c r="M45" s="2">
        <v>0.79400000000000004</v>
      </c>
      <c r="N45" s="2">
        <v>0.79400000000000004</v>
      </c>
      <c r="O45" s="81">
        <f t="shared" ref="O45:O53" si="16">SUMPRODUCT($D$5:$G$5,D45:G45)+SUMPRODUCT(I$5:N$5,I45:N45)</f>
        <v>1684.4456051646575</v>
      </c>
      <c r="P45" s="32">
        <v>0.72</v>
      </c>
      <c r="Q45" s="33">
        <v>0.77500000000000002</v>
      </c>
      <c r="R45" s="55">
        <f t="shared" ref="R45:S53" si="17">P45*$P$5</f>
        <v>1654.308094276593</v>
      </c>
      <c r="S45" s="56">
        <f t="shared" si="17"/>
        <v>1780.6788514782775</v>
      </c>
      <c r="T45" s="22" t="b">
        <f t="shared" ref="T45:T53" si="18">AND(O45&gt;=R45*(1-$AA$3),O45&lt;=S45*(1+$AA$3))</f>
        <v>1</v>
      </c>
      <c r="U45" s="77">
        <f t="shared" ref="U45:U53" si="19">O45/$P$5</f>
        <v>0.73311666666836628</v>
      </c>
    </row>
    <row r="46" spans="3:21" x14ac:dyDescent="0.25">
      <c r="C46" s="6" t="s">
        <v>73</v>
      </c>
      <c r="D46" s="4">
        <v>96</v>
      </c>
      <c r="E46" s="5">
        <v>88</v>
      </c>
      <c r="F46" s="5">
        <v>101</v>
      </c>
      <c r="G46" s="5">
        <v>93</v>
      </c>
      <c r="H46" s="148">
        <f t="shared" si="15"/>
        <v>112.00000000000001</v>
      </c>
      <c r="I46" s="5">
        <v>112</v>
      </c>
      <c r="J46" s="5">
        <v>112</v>
      </c>
      <c r="K46" s="5">
        <v>112</v>
      </c>
      <c r="L46" s="5">
        <v>112</v>
      </c>
      <c r="M46" s="5">
        <v>112</v>
      </c>
      <c r="N46" s="5">
        <v>112</v>
      </c>
      <c r="O46" s="82">
        <f t="shared" si="16"/>
        <v>218835.50917569164</v>
      </c>
      <c r="P46" s="34">
        <v>95</v>
      </c>
      <c r="Q46" s="35">
        <v>999</v>
      </c>
      <c r="R46" s="57">
        <f t="shared" si="17"/>
        <v>218276.76243927272</v>
      </c>
      <c r="S46" s="58">
        <f t="shared" si="17"/>
        <v>2295352.4808087731</v>
      </c>
      <c r="T46" s="23" t="b">
        <f t="shared" si="18"/>
        <v>1</v>
      </c>
      <c r="U46" s="78">
        <f t="shared" si="19"/>
        <v>95.243181818195453</v>
      </c>
    </row>
    <row r="47" spans="3:21" x14ac:dyDescent="0.25">
      <c r="C47" s="6" t="s">
        <v>10</v>
      </c>
      <c r="D47" s="6">
        <v>30</v>
      </c>
      <c r="E47" s="3">
        <v>70</v>
      </c>
      <c r="F47" s="3">
        <v>40</v>
      </c>
      <c r="G47" s="3">
        <v>70</v>
      </c>
      <c r="H47" s="149">
        <f t="shared" si="15"/>
        <v>150.00000000000003</v>
      </c>
      <c r="I47" s="25">
        <v>150</v>
      </c>
      <c r="J47" s="25">
        <v>150</v>
      </c>
      <c r="K47" s="25">
        <v>150</v>
      </c>
      <c r="L47" s="25">
        <v>150</v>
      </c>
      <c r="M47" s="25">
        <v>150</v>
      </c>
      <c r="N47" s="25">
        <v>150</v>
      </c>
      <c r="O47" s="82">
        <f t="shared" si="16"/>
        <v>130409.05136921995</v>
      </c>
      <c r="P47" s="36">
        <v>45</v>
      </c>
      <c r="Q47" s="37">
        <v>60</v>
      </c>
      <c r="R47" s="57">
        <f t="shared" si="17"/>
        <v>103394.25589228707</v>
      </c>
      <c r="S47" s="58">
        <f t="shared" si="17"/>
        <v>137859.00785638276</v>
      </c>
      <c r="T47" s="23" t="b">
        <f t="shared" si="18"/>
        <v>1</v>
      </c>
      <c r="U47" s="78">
        <f t="shared" si="19"/>
        <v>56.757575756707631</v>
      </c>
    </row>
    <row r="48" spans="3:21" x14ac:dyDescent="0.25">
      <c r="C48" s="6" t="s">
        <v>11</v>
      </c>
      <c r="D48" s="6">
        <v>58</v>
      </c>
      <c r="E48" s="3">
        <v>1.5</v>
      </c>
      <c r="F48" s="3">
        <v>0.1</v>
      </c>
      <c r="G48" s="3">
        <v>1</v>
      </c>
      <c r="H48" s="150">
        <f t="shared" si="15"/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82">
        <f t="shared" si="16"/>
        <v>58637.075730312383</v>
      </c>
      <c r="P48" s="36">
        <v>0</v>
      </c>
      <c r="Q48" s="37">
        <v>35</v>
      </c>
      <c r="R48" s="57">
        <f t="shared" si="17"/>
        <v>0</v>
      </c>
      <c r="S48" s="58">
        <f t="shared" si="17"/>
        <v>80417.754582889946</v>
      </c>
      <c r="T48" s="23" t="b">
        <f t="shared" si="18"/>
        <v>1</v>
      </c>
      <c r="U48" s="78">
        <f t="shared" si="19"/>
        <v>25.520454546458947</v>
      </c>
    </row>
    <row r="49" spans="3:21" x14ac:dyDescent="0.25">
      <c r="C49" s="6" t="s">
        <v>12</v>
      </c>
      <c r="D49" s="6">
        <v>1.5</v>
      </c>
      <c r="E49" s="3">
        <v>0.1</v>
      </c>
      <c r="F49" s="3">
        <v>0.1</v>
      </c>
      <c r="G49" s="3">
        <v>0.5</v>
      </c>
      <c r="H49" s="150">
        <f t="shared" si="15"/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82">
        <f t="shared" si="16"/>
        <v>2081.8102701972366</v>
      </c>
      <c r="P49" s="36">
        <v>0</v>
      </c>
      <c r="Q49" s="37">
        <v>1</v>
      </c>
      <c r="R49" s="57">
        <f t="shared" si="17"/>
        <v>0</v>
      </c>
      <c r="S49" s="58">
        <f t="shared" si="17"/>
        <v>2297.6501309397127</v>
      </c>
      <c r="T49" s="23" t="b">
        <f t="shared" si="18"/>
        <v>1</v>
      </c>
      <c r="U49" s="78">
        <f t="shared" si="19"/>
        <v>0.90606060607922057</v>
      </c>
    </row>
    <row r="50" spans="3:21" x14ac:dyDescent="0.25">
      <c r="C50" s="6" t="s">
        <v>13</v>
      </c>
      <c r="D50" s="6">
        <v>0</v>
      </c>
      <c r="E50" s="3">
        <v>0</v>
      </c>
      <c r="F50" s="3">
        <v>0</v>
      </c>
      <c r="G50" s="3">
        <v>0</v>
      </c>
      <c r="H50" s="150">
        <f t="shared" si="15"/>
        <v>100.00000000000003</v>
      </c>
      <c r="I50" s="3">
        <v>100</v>
      </c>
      <c r="J50" s="3">
        <v>100</v>
      </c>
      <c r="K50" s="3">
        <v>100</v>
      </c>
      <c r="L50" s="3">
        <v>100</v>
      </c>
      <c r="M50" s="3">
        <v>100</v>
      </c>
      <c r="N50" s="3">
        <v>100</v>
      </c>
      <c r="O50" s="82">
        <f t="shared" si="16"/>
        <v>11488.250654225461</v>
      </c>
      <c r="P50" s="36">
        <v>0</v>
      </c>
      <c r="Q50" s="37">
        <v>5</v>
      </c>
      <c r="R50" s="57">
        <f t="shared" si="17"/>
        <v>0</v>
      </c>
      <c r="S50" s="58">
        <f t="shared" si="17"/>
        <v>11488.250654698564</v>
      </c>
      <c r="T50" s="23" t="b">
        <f t="shared" si="18"/>
        <v>1</v>
      </c>
      <c r="U50" s="78">
        <f t="shared" si="19"/>
        <v>4.9999999997940936</v>
      </c>
    </row>
    <row r="51" spans="3:21" x14ac:dyDescent="0.25">
      <c r="C51" s="6" t="s">
        <v>14</v>
      </c>
      <c r="D51" s="6">
        <v>4</v>
      </c>
      <c r="E51" s="3">
        <v>80</v>
      </c>
      <c r="F51" s="3">
        <v>8</v>
      </c>
      <c r="G51" s="3">
        <v>70</v>
      </c>
      <c r="H51" s="152">
        <f>SUMPRODUCT(I51:N51,I$5:N$5)/SUM(I$5:N$5)</f>
        <v>199.00000002195981</v>
      </c>
      <c r="I51" s="143">
        <v>250</v>
      </c>
      <c r="J51" s="143">
        <v>200</v>
      </c>
      <c r="K51" s="143">
        <v>185</v>
      </c>
      <c r="L51" s="143">
        <v>175</v>
      </c>
      <c r="M51" s="143">
        <v>155</v>
      </c>
      <c r="N51" s="143">
        <v>160</v>
      </c>
      <c r="O51" s="82">
        <f t="shared" si="16"/>
        <v>110287.20628435203</v>
      </c>
      <c r="P51" s="36">
        <v>20</v>
      </c>
      <c r="Q51" s="37">
        <v>48</v>
      </c>
      <c r="R51" s="57">
        <f t="shared" si="17"/>
        <v>45953.002618794257</v>
      </c>
      <c r="S51" s="58">
        <f t="shared" si="17"/>
        <v>110287.20628510621</v>
      </c>
      <c r="T51" s="23" t="b">
        <f t="shared" si="18"/>
        <v>1</v>
      </c>
      <c r="U51" s="78">
        <f t="shared" si="19"/>
        <v>47.999999999671758</v>
      </c>
    </row>
    <row r="52" spans="3:21" x14ac:dyDescent="0.25">
      <c r="C52" s="6" t="s">
        <v>15</v>
      </c>
      <c r="D52" s="6">
        <v>25</v>
      </c>
      <c r="E52" s="3">
        <v>95</v>
      </c>
      <c r="F52" s="3">
        <v>30</v>
      </c>
      <c r="G52" s="3">
        <v>90</v>
      </c>
      <c r="H52" s="149">
        <f t="shared" ref="H52:H53" si="20">SUMPRODUCT(I52:N52,I$5:N$5)/SUM(I$5:N$5)</f>
        <v>110</v>
      </c>
      <c r="I52" s="25">
        <v>110</v>
      </c>
      <c r="J52" s="25">
        <v>110</v>
      </c>
      <c r="K52" s="25">
        <v>110</v>
      </c>
      <c r="L52" s="25">
        <v>110</v>
      </c>
      <c r="M52" s="25">
        <v>110</v>
      </c>
      <c r="N52" s="25">
        <v>110</v>
      </c>
      <c r="O52" s="82">
        <f t="shared" si="16"/>
        <v>144708.44214551622</v>
      </c>
      <c r="P52" s="36">
        <v>46</v>
      </c>
      <c r="Q52" s="37">
        <v>71</v>
      </c>
      <c r="R52" s="57">
        <f t="shared" si="17"/>
        <v>105691.90602322678</v>
      </c>
      <c r="S52" s="58">
        <f t="shared" si="17"/>
        <v>163133.15929671959</v>
      </c>
      <c r="T52" s="23" t="b">
        <f t="shared" si="18"/>
        <v>1</v>
      </c>
      <c r="U52" s="78">
        <f t="shared" si="19"/>
        <v>62.98106060487639</v>
      </c>
    </row>
    <row r="53" spans="3:21" x14ac:dyDescent="0.25">
      <c r="C53" s="8" t="s">
        <v>16</v>
      </c>
      <c r="D53" s="8">
        <v>95</v>
      </c>
      <c r="E53" s="7">
        <v>99</v>
      </c>
      <c r="F53" s="7">
        <v>94</v>
      </c>
      <c r="G53" s="7">
        <v>100</v>
      </c>
      <c r="H53" s="151">
        <f t="shared" si="20"/>
        <v>100.00000000000003</v>
      </c>
      <c r="I53" s="7">
        <v>100</v>
      </c>
      <c r="J53" s="7">
        <v>100</v>
      </c>
      <c r="K53" s="7">
        <v>100</v>
      </c>
      <c r="L53" s="7">
        <v>100</v>
      </c>
      <c r="M53" s="7">
        <v>100</v>
      </c>
      <c r="N53" s="7">
        <v>100</v>
      </c>
      <c r="O53" s="83">
        <f t="shared" si="16"/>
        <v>224812.88080397871</v>
      </c>
      <c r="P53" s="38">
        <v>75</v>
      </c>
      <c r="Q53" s="39">
        <v>100</v>
      </c>
      <c r="R53" s="59">
        <f t="shared" si="17"/>
        <v>172323.75982047844</v>
      </c>
      <c r="S53" s="60">
        <f t="shared" si="17"/>
        <v>229765.01309397127</v>
      </c>
      <c r="T53" s="24" t="b">
        <f t="shared" si="18"/>
        <v>1</v>
      </c>
      <c r="U53" s="79">
        <f t="shared" si="19"/>
        <v>97.844696969609032</v>
      </c>
    </row>
    <row r="54" spans="3:21" x14ac:dyDescent="0.25">
      <c r="H54" s="26"/>
      <c r="N54" s="26" t="s">
        <v>23</v>
      </c>
    </row>
  </sheetData>
  <mergeCells count="2">
    <mergeCell ref="B2:C3"/>
    <mergeCell ref="B4:B5"/>
  </mergeCells>
  <conditionalFormatting sqref="T32:T40">
    <cfRule type="cellIs" dxfId="23" priority="12" operator="equal">
      <formula>FALSE</formula>
    </cfRule>
  </conditionalFormatting>
  <conditionalFormatting sqref="R4:R5">
    <cfRule type="cellIs" dxfId="22" priority="11" operator="equal">
      <formula>FALSE</formula>
    </cfRule>
  </conditionalFormatting>
  <conditionalFormatting sqref="D22:H22">
    <cfRule type="cellIs" dxfId="21" priority="10" operator="equal">
      <formula>FALSE</formula>
    </cfRule>
  </conditionalFormatting>
  <conditionalFormatting sqref="I6:N7">
    <cfRule type="cellIs" dxfId="20" priority="9" operator="equal">
      <formula>0</formula>
    </cfRule>
  </conditionalFormatting>
  <conditionalFormatting sqref="I9:N10">
    <cfRule type="cellIs" dxfId="19" priority="7" operator="equal">
      <formula>0</formula>
    </cfRule>
  </conditionalFormatting>
  <conditionalFormatting sqref="I17:N17">
    <cfRule type="cellIs" dxfId="18" priority="6" operator="equal">
      <formula>FALSE</formula>
    </cfRule>
  </conditionalFormatting>
  <conditionalFormatting sqref="I18:N18">
    <cfRule type="cellIs" dxfId="17" priority="5" operator="equal">
      <formula>FALSE</formula>
    </cfRule>
  </conditionalFormatting>
  <conditionalFormatting sqref="T45:T53">
    <cfRule type="cellIs" dxfId="16" priority="4" operator="equal">
      <formula>FALSE</formula>
    </cfRule>
  </conditionalFormatting>
  <conditionalFormatting sqref="J15:N16">
    <cfRule type="cellIs" dxfId="15" priority="2" operator="lessThan">
      <formula>I13-$AA$3</formula>
    </cfRule>
  </conditionalFormatting>
  <conditionalFormatting sqref="I13:M14">
    <cfRule type="cellIs" dxfId="14" priority="1" operator="greaterThan">
      <formula>J15+$AA$3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3"/>
  <sheetViews>
    <sheetView showGridLines="0" topLeftCell="C1" workbookViewId="0">
      <selection activeCell="H23" sqref="H23"/>
    </sheetView>
  </sheetViews>
  <sheetFormatPr defaultRowHeight="15" x14ac:dyDescent="0.25"/>
  <cols>
    <col min="1" max="1" width="1.7109375" customWidth="1"/>
    <col min="2" max="2" width="3.7109375" bestFit="1" customWidth="1"/>
    <col min="3" max="3" width="23.42578125" bestFit="1" customWidth="1"/>
    <col min="4" max="9" width="12.7109375" customWidth="1"/>
    <col min="10" max="10" width="11.5703125" bestFit="1" customWidth="1"/>
    <col min="11" max="11" width="16.28515625" bestFit="1" customWidth="1"/>
    <col min="12" max="12" width="14.85546875" bestFit="1" customWidth="1"/>
    <col min="13" max="13" width="11.28515625" customWidth="1"/>
    <col min="14" max="14" width="11" bestFit="1" customWidth="1"/>
    <col min="15" max="15" width="16.7109375" bestFit="1" customWidth="1"/>
    <col min="16" max="16" width="16.85546875" bestFit="1" customWidth="1"/>
  </cols>
  <sheetData>
    <row r="1" spans="2:19" ht="9" customHeight="1" x14ac:dyDescent="0.25"/>
    <row r="2" spans="2:19" x14ac:dyDescent="0.25">
      <c r="B2" s="214" t="s">
        <v>45</v>
      </c>
      <c r="C2" s="215"/>
      <c r="D2" s="15"/>
      <c r="E2" s="16"/>
      <c r="F2" s="17" t="s">
        <v>0</v>
      </c>
      <c r="G2" s="16"/>
      <c r="H2" s="18"/>
      <c r="I2" s="18" t="s">
        <v>133</v>
      </c>
      <c r="K2" s="67" t="s">
        <v>48</v>
      </c>
      <c r="O2" s="13" t="s">
        <v>53</v>
      </c>
      <c r="S2" s="13" t="s">
        <v>30</v>
      </c>
    </row>
    <row r="3" spans="2:19" x14ac:dyDescent="0.25">
      <c r="B3" s="216"/>
      <c r="C3" s="217"/>
      <c r="D3" s="9" t="s">
        <v>2</v>
      </c>
      <c r="E3" s="10" t="s">
        <v>3</v>
      </c>
      <c r="F3" s="10" t="s">
        <v>4</v>
      </c>
      <c r="G3" s="10" t="s">
        <v>5</v>
      </c>
      <c r="H3" s="11" t="s">
        <v>6</v>
      </c>
      <c r="I3" s="11"/>
      <c r="K3" s="63" t="s">
        <v>41</v>
      </c>
      <c r="L3" s="63" t="s">
        <v>42</v>
      </c>
      <c r="M3" s="63" t="s">
        <v>43</v>
      </c>
      <c r="O3" s="63" t="s">
        <v>51</v>
      </c>
      <c r="P3" s="63" t="s">
        <v>52</v>
      </c>
    </row>
    <row r="4" spans="2:19" ht="18" customHeight="1" x14ac:dyDescent="0.25">
      <c r="B4" s="212" t="s">
        <v>44</v>
      </c>
      <c r="C4" s="65" t="s">
        <v>46</v>
      </c>
      <c r="D4" s="74">
        <v>1</v>
      </c>
      <c r="E4" s="75">
        <v>1</v>
      </c>
      <c r="F4" s="75">
        <v>1</v>
      </c>
      <c r="G4" s="75">
        <v>1</v>
      </c>
      <c r="H4" s="75">
        <v>1</v>
      </c>
      <c r="I4" s="69">
        <f>D4*G4</f>
        <v>1</v>
      </c>
      <c r="K4" s="69">
        <f>SUM(D4:H4)</f>
        <v>5</v>
      </c>
      <c r="L4" s="51">
        <v>2500</v>
      </c>
      <c r="M4" s="22" t="b">
        <f>K4&lt;=L4</f>
        <v>1</v>
      </c>
      <c r="O4" s="51">
        <v>425</v>
      </c>
      <c r="P4" s="69">
        <f>O4*K4</f>
        <v>2125</v>
      </c>
    </row>
    <row r="5" spans="2:19" ht="18" customHeight="1" x14ac:dyDescent="0.25">
      <c r="B5" s="213"/>
      <c r="C5" s="66" t="s">
        <v>47</v>
      </c>
      <c r="D5" s="74">
        <v>1</v>
      </c>
      <c r="E5" s="75">
        <v>1</v>
      </c>
      <c r="F5" s="75">
        <v>1</v>
      </c>
      <c r="G5" s="75">
        <v>1</v>
      </c>
      <c r="H5" s="75">
        <v>1</v>
      </c>
      <c r="I5" s="69">
        <f>D5*G5</f>
        <v>1</v>
      </c>
      <c r="K5" s="69">
        <f>SUM(D5:H5)</f>
        <v>5</v>
      </c>
      <c r="L5" s="51">
        <v>4000</v>
      </c>
      <c r="M5" s="28" t="b">
        <f>K5&lt;=L5</f>
        <v>1</v>
      </c>
      <c r="O5" s="51">
        <v>429</v>
      </c>
      <c r="P5" s="69">
        <f>O5*K5</f>
        <v>2145</v>
      </c>
    </row>
    <row r="6" spans="2:19" x14ac:dyDescent="0.25">
      <c r="D6" t="s">
        <v>158</v>
      </c>
    </row>
    <row r="7" spans="2:19" x14ac:dyDescent="0.25">
      <c r="C7" s="67" t="s">
        <v>49</v>
      </c>
    </row>
    <row r="8" spans="2:19" ht="15" customHeight="1" x14ac:dyDescent="0.25">
      <c r="C8" s="61" t="s">
        <v>40</v>
      </c>
      <c r="D8" s="69">
        <f>SUM(D4:D5)</f>
        <v>2</v>
      </c>
      <c r="E8" s="69">
        <f>SUM(E4:E5)</f>
        <v>2</v>
      </c>
      <c r="F8" s="69">
        <f>SUM(F4:F5)</f>
        <v>2</v>
      </c>
      <c r="G8" s="69">
        <f>SUM(G4:G5)</f>
        <v>2</v>
      </c>
      <c r="H8" s="69">
        <f>SUM(H4:H5)</f>
        <v>2</v>
      </c>
    </row>
    <row r="9" spans="2:19" ht="15" customHeight="1" x14ac:dyDescent="0.25">
      <c r="C9" s="61" t="s">
        <v>50</v>
      </c>
      <c r="D9" s="51">
        <v>2000</v>
      </c>
      <c r="E9" s="51">
        <v>1000</v>
      </c>
      <c r="F9" s="51">
        <v>2000</v>
      </c>
      <c r="G9" s="51">
        <v>2000</v>
      </c>
      <c r="H9" s="51">
        <v>1000</v>
      </c>
    </row>
    <row r="10" spans="2:19" ht="15" customHeight="1" x14ac:dyDescent="0.25">
      <c r="C10" s="61" t="s">
        <v>43</v>
      </c>
      <c r="D10" s="28" t="b">
        <f t="shared" ref="D10:H10" si="0">D8&lt;=D9</f>
        <v>1</v>
      </c>
      <c r="E10" s="28" t="b">
        <f t="shared" si="0"/>
        <v>1</v>
      </c>
      <c r="F10" s="28" t="b">
        <f t="shared" si="0"/>
        <v>1</v>
      </c>
      <c r="G10" s="28" t="b">
        <f t="shared" si="0"/>
        <v>1</v>
      </c>
      <c r="H10" s="28" t="b">
        <f t="shared" si="0"/>
        <v>1</v>
      </c>
    </row>
    <row r="11" spans="2:19" ht="15" customHeight="1" x14ac:dyDescent="0.25"/>
    <row r="12" spans="2:19" ht="15" customHeight="1" x14ac:dyDescent="0.25">
      <c r="C12" s="13" t="s">
        <v>54</v>
      </c>
    </row>
    <row r="13" spans="2:19" ht="15" customHeight="1" x14ac:dyDescent="0.25">
      <c r="C13" s="14" t="s">
        <v>86</v>
      </c>
      <c r="D13" s="51">
        <v>420</v>
      </c>
      <c r="E13" s="51">
        <v>435</v>
      </c>
      <c r="F13" s="51">
        <v>440</v>
      </c>
      <c r="G13" s="51">
        <v>423</v>
      </c>
      <c r="H13" s="51">
        <v>350</v>
      </c>
      <c r="K13" s="27"/>
      <c r="M13" s="27"/>
      <c r="O13" s="13" t="s">
        <v>55</v>
      </c>
    </row>
    <row r="14" spans="2:19" x14ac:dyDescent="0.25">
      <c r="C14" s="14" t="s">
        <v>58</v>
      </c>
      <c r="D14" s="69">
        <f t="shared" ref="D14:H14" si="1">D13*D8</f>
        <v>840</v>
      </c>
      <c r="E14" s="69">
        <f t="shared" si="1"/>
        <v>870</v>
      </c>
      <c r="F14" s="69">
        <f t="shared" si="1"/>
        <v>880</v>
      </c>
      <c r="G14" s="69">
        <f t="shared" si="1"/>
        <v>846</v>
      </c>
      <c r="H14" s="69">
        <f t="shared" si="1"/>
        <v>700</v>
      </c>
      <c r="K14" s="27"/>
      <c r="M14" s="27"/>
      <c r="O14" s="62" t="s">
        <v>56</v>
      </c>
      <c r="P14" s="50">
        <f>SUM(P4:P5)-SUM(D14:H14)</f>
        <v>134</v>
      </c>
    </row>
    <row r="18" spans="3:16" x14ac:dyDescent="0.25">
      <c r="C18" s="13" t="s">
        <v>59</v>
      </c>
      <c r="J18" s="76" t="s">
        <v>62</v>
      </c>
      <c r="K18" s="31" t="s">
        <v>19</v>
      </c>
      <c r="L18" s="16"/>
      <c r="M18" s="31" t="s">
        <v>38</v>
      </c>
      <c r="N18" s="16"/>
      <c r="O18" s="68" t="s">
        <v>21</v>
      </c>
      <c r="P18" s="76" t="s">
        <v>61</v>
      </c>
    </row>
    <row r="19" spans="3:16" x14ac:dyDescent="0.25">
      <c r="J19" s="80" t="s">
        <v>63</v>
      </c>
      <c r="K19" s="19" t="s">
        <v>7</v>
      </c>
      <c r="L19" s="40" t="s">
        <v>8</v>
      </c>
      <c r="M19" s="19" t="s">
        <v>7</v>
      </c>
      <c r="N19" s="40" t="s">
        <v>8</v>
      </c>
      <c r="O19" s="64"/>
      <c r="P19" s="64"/>
    </row>
    <row r="20" spans="3:16" x14ac:dyDescent="0.25">
      <c r="C20" s="21" t="s">
        <v>9</v>
      </c>
      <c r="D20" s="1">
        <v>0.79</v>
      </c>
      <c r="E20" s="2">
        <v>0.68</v>
      </c>
      <c r="F20" s="2">
        <v>0.7</v>
      </c>
      <c r="G20" s="2">
        <v>0.68</v>
      </c>
      <c r="H20" s="2">
        <v>0.79400000000000004</v>
      </c>
      <c r="I20" s="2"/>
      <c r="J20" s="81">
        <f t="shared" ref="J20:J28" si="2">SUMPRODUCT(D$4:H$4,D20:H20)</f>
        <v>3.6440000000000001</v>
      </c>
      <c r="K20" s="32">
        <v>0.72</v>
      </c>
      <c r="L20" s="33">
        <v>0.77500000000000002</v>
      </c>
      <c r="M20" s="55">
        <f t="shared" ref="M20:N28" si="3">K20*$K$4</f>
        <v>3.5999999999999996</v>
      </c>
      <c r="N20" s="56">
        <f t="shared" si="3"/>
        <v>3.875</v>
      </c>
      <c r="O20" s="22" t="b">
        <f t="shared" ref="O20:O28" si="4">AND(J20&gt;=M20,J20&lt;=N20)</f>
        <v>1</v>
      </c>
      <c r="P20" s="77">
        <f t="shared" ref="P20:P28" si="5">J20/$K$4</f>
        <v>0.7288</v>
      </c>
    </row>
    <row r="21" spans="3:16" x14ac:dyDescent="0.25">
      <c r="C21" s="85" t="s">
        <v>73</v>
      </c>
      <c r="D21" s="153">
        <v>96</v>
      </c>
      <c r="E21" s="154">
        <v>88</v>
      </c>
      <c r="F21" s="154">
        <v>101</v>
      </c>
      <c r="G21" s="154">
        <v>93</v>
      </c>
      <c r="H21" s="154">
        <v>112</v>
      </c>
      <c r="I21" s="154">
        <v>-2</v>
      </c>
      <c r="J21" s="87">
        <f>SUMPRODUCT(D$4:H$4,D21:H21)*$K$4+I21*I$4</f>
        <v>2448</v>
      </c>
      <c r="K21" s="155">
        <v>95</v>
      </c>
      <c r="L21" s="156">
        <v>999</v>
      </c>
      <c r="M21" s="91">
        <f>K21*$K$4*$K$4</f>
        <v>2375</v>
      </c>
      <c r="N21" s="92">
        <f>L21*$K$4*$K$4</f>
        <v>24975</v>
      </c>
      <c r="O21" s="23" t="b">
        <f t="shared" si="4"/>
        <v>1</v>
      </c>
      <c r="P21" s="88">
        <f>J21/$K$4/$K$4</f>
        <v>97.92</v>
      </c>
    </row>
    <row r="22" spans="3:16" x14ac:dyDescent="0.25">
      <c r="C22" s="6" t="s">
        <v>10</v>
      </c>
      <c r="D22" s="6">
        <v>30</v>
      </c>
      <c r="E22" s="3">
        <v>70</v>
      </c>
      <c r="F22" s="3">
        <v>40</v>
      </c>
      <c r="G22" s="3">
        <v>70</v>
      </c>
      <c r="H22" s="25">
        <v>150</v>
      </c>
      <c r="I22" s="25"/>
      <c r="J22" s="82">
        <f t="shared" si="2"/>
        <v>360</v>
      </c>
      <c r="K22" s="36">
        <v>45</v>
      </c>
      <c r="L22" s="37">
        <v>60</v>
      </c>
      <c r="M22" s="57">
        <f t="shared" si="3"/>
        <v>225</v>
      </c>
      <c r="N22" s="58">
        <f t="shared" si="3"/>
        <v>300</v>
      </c>
      <c r="O22" s="23" t="b">
        <f t="shared" si="4"/>
        <v>0</v>
      </c>
      <c r="P22" s="78">
        <f t="shared" si="5"/>
        <v>72</v>
      </c>
    </row>
    <row r="23" spans="3:16" x14ac:dyDescent="0.25">
      <c r="C23" s="6" t="s">
        <v>11</v>
      </c>
      <c r="D23" s="6">
        <v>58</v>
      </c>
      <c r="E23" s="3">
        <v>1.5</v>
      </c>
      <c r="F23" s="3">
        <v>0.1</v>
      </c>
      <c r="G23" s="3">
        <v>1</v>
      </c>
      <c r="H23" s="3">
        <v>0</v>
      </c>
      <c r="I23" s="3"/>
      <c r="J23" s="82">
        <f t="shared" si="2"/>
        <v>60.6</v>
      </c>
      <c r="K23" s="36">
        <v>0</v>
      </c>
      <c r="L23" s="37">
        <v>35</v>
      </c>
      <c r="M23" s="57">
        <f t="shared" si="3"/>
        <v>0</v>
      </c>
      <c r="N23" s="58">
        <f t="shared" si="3"/>
        <v>175</v>
      </c>
      <c r="O23" s="23" t="b">
        <f t="shared" si="4"/>
        <v>1</v>
      </c>
      <c r="P23" s="78">
        <f t="shared" si="5"/>
        <v>12.120000000000001</v>
      </c>
    </row>
    <row r="24" spans="3:16" x14ac:dyDescent="0.25">
      <c r="C24" s="6" t="s">
        <v>12</v>
      </c>
      <c r="D24" s="6">
        <v>1.5</v>
      </c>
      <c r="E24" s="3">
        <v>0.1</v>
      </c>
      <c r="F24" s="3">
        <v>0.1</v>
      </c>
      <c r="G24" s="3">
        <v>0.5</v>
      </c>
      <c r="H24" s="3">
        <v>0</v>
      </c>
      <c r="I24" s="3"/>
      <c r="J24" s="82">
        <f t="shared" si="2"/>
        <v>2.2000000000000002</v>
      </c>
      <c r="K24" s="36">
        <v>0</v>
      </c>
      <c r="L24" s="37">
        <v>1</v>
      </c>
      <c r="M24" s="57">
        <f t="shared" si="3"/>
        <v>0</v>
      </c>
      <c r="N24" s="58">
        <f t="shared" si="3"/>
        <v>5</v>
      </c>
      <c r="O24" s="23" t="b">
        <f t="shared" si="4"/>
        <v>1</v>
      </c>
      <c r="P24" s="78">
        <f t="shared" si="5"/>
        <v>0.44000000000000006</v>
      </c>
    </row>
    <row r="25" spans="3:16" x14ac:dyDescent="0.25">
      <c r="C25" s="6" t="s">
        <v>13</v>
      </c>
      <c r="D25" s="6">
        <v>0</v>
      </c>
      <c r="E25" s="3">
        <v>0</v>
      </c>
      <c r="F25" s="3">
        <v>0</v>
      </c>
      <c r="G25" s="3">
        <v>0</v>
      </c>
      <c r="H25" s="3">
        <v>100</v>
      </c>
      <c r="I25" s="3"/>
      <c r="J25" s="82">
        <f t="shared" si="2"/>
        <v>100</v>
      </c>
      <c r="K25" s="36">
        <v>0</v>
      </c>
      <c r="L25" s="37">
        <v>10</v>
      </c>
      <c r="M25" s="57">
        <f t="shared" si="3"/>
        <v>0</v>
      </c>
      <c r="N25" s="58">
        <f t="shared" si="3"/>
        <v>50</v>
      </c>
      <c r="O25" s="23" t="b">
        <f t="shared" si="4"/>
        <v>0</v>
      </c>
      <c r="P25" s="78">
        <f t="shared" si="5"/>
        <v>20</v>
      </c>
    </row>
    <row r="26" spans="3:16" x14ac:dyDescent="0.25">
      <c r="C26" s="6" t="s">
        <v>14</v>
      </c>
      <c r="D26" s="6">
        <v>4</v>
      </c>
      <c r="E26" s="3">
        <v>80</v>
      </c>
      <c r="F26" s="3">
        <v>8</v>
      </c>
      <c r="G26" s="3">
        <v>70</v>
      </c>
      <c r="H26" s="25">
        <v>180</v>
      </c>
      <c r="I26" s="25"/>
      <c r="J26" s="82">
        <f t="shared" si="2"/>
        <v>342</v>
      </c>
      <c r="K26" s="36">
        <v>20</v>
      </c>
      <c r="L26" s="37">
        <v>48</v>
      </c>
      <c r="M26" s="57">
        <f t="shared" si="3"/>
        <v>100</v>
      </c>
      <c r="N26" s="58">
        <f t="shared" si="3"/>
        <v>240</v>
      </c>
      <c r="O26" s="23" t="b">
        <f t="shared" si="4"/>
        <v>0</v>
      </c>
      <c r="P26" s="78">
        <f t="shared" si="5"/>
        <v>68.400000000000006</v>
      </c>
    </row>
    <row r="27" spans="3:16" x14ac:dyDescent="0.25">
      <c r="C27" s="6" t="s">
        <v>15</v>
      </c>
      <c r="D27" s="6">
        <v>25</v>
      </c>
      <c r="E27" s="3">
        <v>95</v>
      </c>
      <c r="F27" s="3">
        <v>30</v>
      </c>
      <c r="G27" s="3">
        <v>90</v>
      </c>
      <c r="H27" s="25">
        <v>110</v>
      </c>
      <c r="I27" s="25"/>
      <c r="J27" s="82">
        <f t="shared" si="2"/>
        <v>350</v>
      </c>
      <c r="K27" s="36">
        <v>46</v>
      </c>
      <c r="L27" s="37">
        <v>71</v>
      </c>
      <c r="M27" s="57">
        <f t="shared" si="3"/>
        <v>230</v>
      </c>
      <c r="N27" s="58">
        <f t="shared" si="3"/>
        <v>355</v>
      </c>
      <c r="O27" s="23" t="b">
        <f t="shared" si="4"/>
        <v>1</v>
      </c>
      <c r="P27" s="78">
        <f t="shared" si="5"/>
        <v>70</v>
      </c>
    </row>
    <row r="28" spans="3:16" x14ac:dyDescent="0.25">
      <c r="C28" s="8" t="s">
        <v>16</v>
      </c>
      <c r="D28" s="8">
        <v>95</v>
      </c>
      <c r="E28" s="7">
        <v>99</v>
      </c>
      <c r="F28" s="7">
        <v>94</v>
      </c>
      <c r="G28" s="7">
        <v>100</v>
      </c>
      <c r="H28" s="7">
        <v>100</v>
      </c>
      <c r="I28" s="7"/>
      <c r="J28" s="83">
        <f t="shared" si="2"/>
        <v>488</v>
      </c>
      <c r="K28" s="38">
        <v>75</v>
      </c>
      <c r="L28" s="39">
        <v>100</v>
      </c>
      <c r="M28" s="59">
        <f t="shared" si="3"/>
        <v>375</v>
      </c>
      <c r="N28" s="60">
        <f t="shared" si="3"/>
        <v>500</v>
      </c>
      <c r="O28" s="24" t="b">
        <f t="shared" si="4"/>
        <v>1</v>
      </c>
      <c r="P28" s="79">
        <f t="shared" si="5"/>
        <v>97.6</v>
      </c>
    </row>
    <row r="29" spans="3:16" x14ac:dyDescent="0.25">
      <c r="H29" s="26" t="s">
        <v>23</v>
      </c>
      <c r="I29" s="26"/>
    </row>
    <row r="30" spans="3:16" x14ac:dyDescent="0.25">
      <c r="H30" s="26" t="s">
        <v>134</v>
      </c>
    </row>
    <row r="31" spans="3:16" x14ac:dyDescent="0.25">
      <c r="C31" s="13" t="s">
        <v>60</v>
      </c>
      <c r="J31" s="76" t="s">
        <v>62</v>
      </c>
      <c r="K31" s="31" t="s">
        <v>19</v>
      </c>
      <c r="L31" s="16"/>
      <c r="M31" s="31" t="s">
        <v>38</v>
      </c>
      <c r="N31" s="16"/>
      <c r="O31" s="68" t="s">
        <v>21</v>
      </c>
      <c r="P31" s="76" t="s">
        <v>61</v>
      </c>
    </row>
    <row r="32" spans="3:16" x14ac:dyDescent="0.25">
      <c r="J32" s="80" t="s">
        <v>63</v>
      </c>
      <c r="K32" s="19" t="s">
        <v>7</v>
      </c>
      <c r="L32" s="40" t="s">
        <v>8</v>
      </c>
      <c r="M32" s="19" t="s">
        <v>7</v>
      </c>
      <c r="N32" s="40" t="s">
        <v>8</v>
      </c>
      <c r="O32" s="64"/>
      <c r="P32" s="64"/>
    </row>
    <row r="33" spans="3:16" x14ac:dyDescent="0.25">
      <c r="C33" s="21" t="s">
        <v>9</v>
      </c>
      <c r="D33" s="1">
        <v>0.79</v>
      </c>
      <c r="E33" s="2">
        <v>0.68</v>
      </c>
      <c r="F33" s="2">
        <v>0.7</v>
      </c>
      <c r="G33" s="2">
        <v>0.68</v>
      </c>
      <c r="H33" s="2">
        <v>0.79400000000000004</v>
      </c>
      <c r="I33" s="2"/>
      <c r="J33" s="81">
        <f t="shared" ref="J33:J41" si="6">SUMPRODUCT(D$5:H$5,D33:H33)</f>
        <v>3.6440000000000001</v>
      </c>
      <c r="K33" s="32">
        <v>0.72</v>
      </c>
      <c r="L33" s="33">
        <v>0.77500000000000002</v>
      </c>
      <c r="M33" s="55">
        <f t="shared" ref="M33:N41" si="7">K33*$K$5</f>
        <v>3.5999999999999996</v>
      </c>
      <c r="N33" s="56">
        <f t="shared" si="7"/>
        <v>3.875</v>
      </c>
      <c r="O33" s="22" t="b">
        <f t="shared" ref="O33:O41" si="8">AND(J33&gt;=M33,J33&lt;=N33)</f>
        <v>1</v>
      </c>
      <c r="P33" s="77">
        <f t="shared" ref="P33:P41" si="9">J33/$K$5</f>
        <v>0.7288</v>
      </c>
    </row>
    <row r="34" spans="3:16" x14ac:dyDescent="0.25">
      <c r="C34" s="85" t="s">
        <v>73</v>
      </c>
      <c r="D34" s="153">
        <v>96</v>
      </c>
      <c r="E34" s="154">
        <v>88</v>
      </c>
      <c r="F34" s="154">
        <v>101</v>
      </c>
      <c r="G34" s="154">
        <v>93</v>
      </c>
      <c r="H34" s="154">
        <v>112</v>
      </c>
      <c r="I34" s="154">
        <v>-2</v>
      </c>
      <c r="J34" s="87">
        <f>SUMPRODUCT(D$5:H$5,D34:H34)*$K$5+I34*I$5</f>
        <v>2448</v>
      </c>
      <c r="K34" s="155">
        <v>95</v>
      </c>
      <c r="L34" s="156">
        <v>999</v>
      </c>
      <c r="M34" s="91">
        <f>K34*$K$5*$K$5</f>
        <v>2375</v>
      </c>
      <c r="N34" s="92">
        <f>L34*$K$5*$K$5</f>
        <v>24975</v>
      </c>
      <c r="O34" s="23" t="b">
        <f t="shared" si="8"/>
        <v>1</v>
      </c>
      <c r="P34" s="88">
        <f>J34/$K$5/$K$5</f>
        <v>97.92</v>
      </c>
    </row>
    <row r="35" spans="3:16" x14ac:dyDescent="0.25">
      <c r="C35" s="6" t="s">
        <v>10</v>
      </c>
      <c r="D35" s="6">
        <v>30</v>
      </c>
      <c r="E35" s="3">
        <v>70</v>
      </c>
      <c r="F35" s="3">
        <v>40</v>
      </c>
      <c r="G35" s="3">
        <v>70</v>
      </c>
      <c r="H35" s="25">
        <v>150</v>
      </c>
      <c r="I35" s="25"/>
      <c r="J35" s="82">
        <f t="shared" si="6"/>
        <v>360</v>
      </c>
      <c r="K35" s="36">
        <v>45</v>
      </c>
      <c r="L35" s="37">
        <v>60</v>
      </c>
      <c r="M35" s="57">
        <f t="shared" si="7"/>
        <v>225</v>
      </c>
      <c r="N35" s="58">
        <f t="shared" si="7"/>
        <v>300</v>
      </c>
      <c r="O35" s="23" t="b">
        <f t="shared" si="8"/>
        <v>0</v>
      </c>
      <c r="P35" s="78">
        <f t="shared" si="9"/>
        <v>72</v>
      </c>
    </row>
    <row r="36" spans="3:16" x14ac:dyDescent="0.25">
      <c r="C36" s="6" t="s">
        <v>11</v>
      </c>
      <c r="D36" s="6">
        <v>58</v>
      </c>
      <c r="E36" s="3">
        <v>1.5</v>
      </c>
      <c r="F36" s="3">
        <v>0.1</v>
      </c>
      <c r="G36" s="3">
        <v>1</v>
      </c>
      <c r="H36" s="3">
        <v>0</v>
      </c>
      <c r="I36" s="3"/>
      <c r="J36" s="82">
        <f t="shared" si="6"/>
        <v>60.6</v>
      </c>
      <c r="K36" s="36">
        <v>0</v>
      </c>
      <c r="L36" s="37">
        <v>35</v>
      </c>
      <c r="M36" s="57">
        <f t="shared" si="7"/>
        <v>0</v>
      </c>
      <c r="N36" s="58">
        <f t="shared" si="7"/>
        <v>175</v>
      </c>
      <c r="O36" s="23" t="b">
        <f t="shared" si="8"/>
        <v>1</v>
      </c>
      <c r="P36" s="78">
        <f t="shared" si="9"/>
        <v>12.120000000000001</v>
      </c>
    </row>
    <row r="37" spans="3:16" x14ac:dyDescent="0.25">
      <c r="C37" s="6" t="s">
        <v>12</v>
      </c>
      <c r="D37" s="6">
        <v>1.5</v>
      </c>
      <c r="E37" s="3">
        <v>0.1</v>
      </c>
      <c r="F37" s="3">
        <v>0.1</v>
      </c>
      <c r="G37" s="3">
        <v>0.5</v>
      </c>
      <c r="H37" s="3">
        <v>0</v>
      </c>
      <c r="I37" s="3"/>
      <c r="J37" s="82">
        <f t="shared" si="6"/>
        <v>2.2000000000000002</v>
      </c>
      <c r="K37" s="36">
        <v>0</v>
      </c>
      <c r="L37" s="37">
        <v>1</v>
      </c>
      <c r="M37" s="57">
        <f t="shared" si="7"/>
        <v>0</v>
      </c>
      <c r="N37" s="58">
        <f t="shared" si="7"/>
        <v>5</v>
      </c>
      <c r="O37" s="23" t="b">
        <f t="shared" si="8"/>
        <v>1</v>
      </c>
      <c r="P37" s="78">
        <f t="shared" si="9"/>
        <v>0.44000000000000006</v>
      </c>
    </row>
    <row r="38" spans="3:16" x14ac:dyDescent="0.25">
      <c r="C38" s="6" t="s">
        <v>13</v>
      </c>
      <c r="D38" s="6">
        <v>0</v>
      </c>
      <c r="E38" s="3">
        <v>0</v>
      </c>
      <c r="F38" s="3">
        <v>0</v>
      </c>
      <c r="G38" s="3">
        <v>0</v>
      </c>
      <c r="H38" s="3">
        <v>100</v>
      </c>
      <c r="I38" s="3"/>
      <c r="J38" s="82">
        <f t="shared" si="6"/>
        <v>100</v>
      </c>
      <c r="K38" s="36">
        <v>0</v>
      </c>
      <c r="L38" s="37">
        <v>5</v>
      </c>
      <c r="M38" s="57">
        <f t="shared" si="7"/>
        <v>0</v>
      </c>
      <c r="N38" s="58">
        <f t="shared" si="7"/>
        <v>25</v>
      </c>
      <c r="O38" s="23" t="b">
        <f t="shared" si="8"/>
        <v>0</v>
      </c>
      <c r="P38" s="78">
        <f t="shared" si="9"/>
        <v>20</v>
      </c>
    </row>
    <row r="39" spans="3:16" x14ac:dyDescent="0.25">
      <c r="C39" s="6" t="s">
        <v>14</v>
      </c>
      <c r="D39" s="6">
        <v>4</v>
      </c>
      <c r="E39" s="3">
        <v>80</v>
      </c>
      <c r="F39" s="3">
        <v>8</v>
      </c>
      <c r="G39" s="3">
        <v>70</v>
      </c>
      <c r="H39" s="25">
        <v>180</v>
      </c>
      <c r="I39" s="25"/>
      <c r="J39" s="82">
        <f t="shared" si="6"/>
        <v>342</v>
      </c>
      <c r="K39" s="36">
        <v>20</v>
      </c>
      <c r="L39" s="37">
        <v>48</v>
      </c>
      <c r="M39" s="57">
        <f t="shared" si="7"/>
        <v>100</v>
      </c>
      <c r="N39" s="58">
        <f t="shared" si="7"/>
        <v>240</v>
      </c>
      <c r="O39" s="23" t="b">
        <f t="shared" si="8"/>
        <v>0</v>
      </c>
      <c r="P39" s="78">
        <f t="shared" si="9"/>
        <v>68.400000000000006</v>
      </c>
    </row>
    <row r="40" spans="3:16" x14ac:dyDescent="0.25">
      <c r="C40" s="6" t="s">
        <v>15</v>
      </c>
      <c r="D40" s="6">
        <v>25</v>
      </c>
      <c r="E40" s="3">
        <v>95</v>
      </c>
      <c r="F40" s="3">
        <v>30</v>
      </c>
      <c r="G40" s="3">
        <v>90</v>
      </c>
      <c r="H40" s="25">
        <v>110</v>
      </c>
      <c r="I40" s="25"/>
      <c r="J40" s="82">
        <f t="shared" si="6"/>
        <v>350</v>
      </c>
      <c r="K40" s="36">
        <v>46</v>
      </c>
      <c r="L40" s="37">
        <v>71</v>
      </c>
      <c r="M40" s="57">
        <f t="shared" si="7"/>
        <v>230</v>
      </c>
      <c r="N40" s="58">
        <f t="shared" si="7"/>
        <v>355</v>
      </c>
      <c r="O40" s="23" t="b">
        <f t="shared" si="8"/>
        <v>1</v>
      </c>
      <c r="P40" s="78">
        <f t="shared" si="9"/>
        <v>70</v>
      </c>
    </row>
    <row r="41" spans="3:16" x14ac:dyDescent="0.25">
      <c r="C41" s="8" t="s">
        <v>16</v>
      </c>
      <c r="D41" s="8">
        <v>95</v>
      </c>
      <c r="E41" s="7">
        <v>99</v>
      </c>
      <c r="F41" s="7">
        <v>94</v>
      </c>
      <c r="G41" s="7">
        <v>100</v>
      </c>
      <c r="H41" s="7">
        <v>100</v>
      </c>
      <c r="I41" s="7"/>
      <c r="J41" s="83">
        <f t="shared" si="6"/>
        <v>488</v>
      </c>
      <c r="K41" s="38">
        <v>75</v>
      </c>
      <c r="L41" s="39">
        <v>100</v>
      </c>
      <c r="M41" s="59">
        <f t="shared" si="7"/>
        <v>375</v>
      </c>
      <c r="N41" s="60">
        <f t="shared" si="7"/>
        <v>500</v>
      </c>
      <c r="O41" s="24" t="b">
        <f t="shared" si="8"/>
        <v>1</v>
      </c>
      <c r="P41" s="79">
        <f t="shared" si="9"/>
        <v>97.6</v>
      </c>
    </row>
    <row r="42" spans="3:16" x14ac:dyDescent="0.25">
      <c r="H42" s="26" t="s">
        <v>23</v>
      </c>
      <c r="I42" s="26"/>
    </row>
    <row r="43" spans="3:16" x14ac:dyDescent="0.25">
      <c r="H43" s="26" t="s">
        <v>134</v>
      </c>
    </row>
  </sheetData>
  <mergeCells count="2">
    <mergeCell ref="B2:C3"/>
    <mergeCell ref="B4:B5"/>
  </mergeCells>
  <conditionalFormatting sqref="O20:O28">
    <cfRule type="cellIs" dxfId="13" priority="6" operator="equal">
      <formula>FALSE</formula>
    </cfRule>
  </conditionalFormatting>
  <conditionalFormatting sqref="M4:M5">
    <cfRule type="cellIs" dxfId="12" priority="5" operator="equal">
      <formula>FALSE</formula>
    </cfRule>
  </conditionalFormatting>
  <conditionalFormatting sqref="D10:H10">
    <cfRule type="cellIs" dxfId="11" priority="4" operator="equal">
      <formula>FALSE</formula>
    </cfRule>
  </conditionalFormatting>
  <conditionalFormatting sqref="O33 O35:O41">
    <cfRule type="cellIs" dxfId="10" priority="3" operator="equal">
      <formula>FALSE</formula>
    </cfRule>
  </conditionalFormatting>
  <conditionalFormatting sqref="O34">
    <cfRule type="cellIs" dxfId="9" priority="1" operator="equal">
      <formula>FALSE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Example 1</vt:lpstr>
      <vt:lpstr>Example 2</vt:lpstr>
      <vt:lpstr>Example 3</vt:lpstr>
      <vt:lpstr>Example 4</vt:lpstr>
      <vt:lpstr>Example 5</vt:lpstr>
      <vt:lpstr>Example 4 VP Index</vt:lpstr>
      <vt:lpstr>Example 3 Staircase</vt:lpstr>
      <vt:lpstr>Example 3 Incremental</vt:lpstr>
      <vt:lpstr>Example 3 Quadratic</vt:lpstr>
      <vt:lpstr>Example 5 Pooling</vt:lpstr>
    </vt:vector>
  </TitlesOfParts>
  <Company>VARO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Popp</dc:creator>
  <cp:lastModifiedBy>Andreas Popp </cp:lastModifiedBy>
  <dcterms:created xsi:type="dcterms:W3CDTF">2021-02-13T08:29:45Z</dcterms:created>
  <dcterms:modified xsi:type="dcterms:W3CDTF">2021-03-07T19:33:18Z</dcterms:modified>
</cp:coreProperties>
</file>